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2.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omments3.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4.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5.xml" ContentType="application/vnd.openxmlformats-officedocument.spreadsheetml.comment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6.xml" ContentType="application/vnd.openxmlformats-officedocument.spreadsheetml.comments+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7.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omments8.xml" ContentType="application/vnd.openxmlformats-officedocument.spreadsheetml.comment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omments9.xml" ContentType="application/vnd.openxmlformats-officedocument.spreadsheetml.comments+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omments10.xml" ContentType="application/vnd.openxmlformats-officedocument.spreadsheetml.comment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omments11.xml" ContentType="application/vnd.openxmlformats-officedocument.spreadsheetml.comments+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omments12.xml" ContentType="application/vnd.openxmlformats-officedocument.spreadsheetml.comments+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omments13.xml" ContentType="application/vnd.openxmlformats-officedocument.spreadsheetml.comments+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omments14.xml" ContentType="application/vnd.openxmlformats-officedocument.spreadsheetml.comments+xml"/>
  <Override PartName="/xl/charts/chart53.xml" ContentType="application/vnd.openxmlformats-officedocument.drawingml.chart+xml"/>
  <Override PartName="/xl/drawings/drawing30.xml" ContentType="application/vnd.openxmlformats-officedocument.drawingml.chartshapes+xml"/>
  <Override PartName="/xl/charts/chart54.xml" ContentType="application/vnd.openxmlformats-officedocument.drawingml.chart+xml"/>
  <Override PartName="/xl/drawings/drawing31.xml" ContentType="application/vnd.openxmlformats-officedocument.drawingml.chartshapes+xml"/>
  <Override PartName="/xl/charts/chart55.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omments15.xml" ContentType="application/vnd.openxmlformats-officedocument.spreadsheetml.comments+xml"/>
  <Override PartName="/xl/charts/chart56.xml" ContentType="application/vnd.openxmlformats-officedocument.drawingml.chart+xml"/>
  <Override PartName="/xl/charts/chart5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omments16.xml" ContentType="application/vnd.openxmlformats-officedocument.spreadsheetml.comments+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daphney\Documents\TVET Reports\"/>
    </mc:Choice>
  </mc:AlternateContent>
  <xr:revisionPtr revIDLastSave="0" documentId="8_{AC0897F2-DD7C-4FD9-A7F2-CD31FC6F8518}" xr6:coauthVersionLast="45" xr6:coauthVersionMax="45" xr10:uidLastSave="{00000000-0000-0000-0000-000000000000}"/>
  <workbookProtection workbookPassword="81D1" lockStructure="1"/>
  <bookViews>
    <workbookView showSheetTabs="0" xWindow="-120" yWindow="-120" windowWidth="20730" windowHeight="11160" activeTab="16" xr2:uid="{00000000-000D-0000-FFFF-FFFF00000000}"/>
  </bookViews>
  <sheets>
    <sheet name="Home" sheetId="23" r:id="rId1"/>
    <sheet name="Monthly Budgets" sheetId="22" r:id="rId2"/>
    <sheet name="Jan" sheetId="1" r:id="rId3"/>
    <sheet name="Feb" sheetId="5" r:id="rId4"/>
    <sheet name="Mar" sheetId="7" r:id="rId5"/>
    <sheet name="Apr " sheetId="17" r:id="rId6"/>
    <sheet name="May" sheetId="8" r:id="rId7"/>
    <sheet name="Jun" sheetId="9" r:id="rId8"/>
    <sheet name="Jul" sheetId="10" r:id="rId9"/>
    <sheet name="Aug" sheetId="11" r:id="rId10"/>
    <sheet name="Sep" sheetId="12" r:id="rId11"/>
    <sheet name="Oct" sheetId="13" r:id="rId12"/>
    <sheet name="Nov" sheetId="14" r:id="rId13"/>
    <sheet name="Dec" sheetId="15" r:id="rId14"/>
    <sheet name="YEARLY" sheetId="16" r:id="rId15"/>
    <sheet name="Financial Scorecard" sheetId="4" r:id="rId16"/>
    <sheet name="Savings and Investments" sheetId="3" r:id="rId17"/>
    <sheet name="InterestCalculators" sheetId="18" r:id="rId18"/>
    <sheet name="Help" sheetId="20" r:id="rId19"/>
    <sheet name="Data" sheetId="2" r:id="rId20"/>
  </sheets>
  <definedNames>
    <definedName name="Actual_Expenses_Apr">'Apr '!$I$42:$I$52</definedName>
    <definedName name="Actual_Expenses_Aug">Aug!$I$42:$I$52</definedName>
    <definedName name="Actual_Expenses_Dec">Dec!$I$42:$I$52</definedName>
    <definedName name="Actual_Expenses_Feb">Feb!$I$42:$I$52</definedName>
    <definedName name="Actual_Expenses_Jan" localSheetId="5">'Apr '!$I$42:$I$52</definedName>
    <definedName name="Actual_Expenses_Jan" localSheetId="9">Aug!$I$42:$I$52</definedName>
    <definedName name="Actual_Expenses_Jan" localSheetId="13">Dec!$I$42:$I$52</definedName>
    <definedName name="Actual_Expenses_Jan" localSheetId="3">Feb!$I$42:$I$52</definedName>
    <definedName name="Actual_Expenses_Jan">Jan!$I$42:$I$52</definedName>
    <definedName name="Actual_Expenses_Jul">Jul!$I$42:$I$52</definedName>
    <definedName name="Actual_Expenses_Jun">Jun!$I$42:$I$52</definedName>
    <definedName name="Actual_Expenses_Mar">Mar!$I$42:$I$52</definedName>
    <definedName name="Actual_Expenses_May">May!$I$42:$I$52</definedName>
    <definedName name="Actual_Expenses_Nov">Nov!$I$42:$I$52</definedName>
    <definedName name="Actual_Expenses_Oct">Oct!$I$42:$I$52</definedName>
    <definedName name="Actual_Expenses_Sep">Sep!$I$42:$I$52</definedName>
    <definedName name="Actual_Expenses_TotalFeb">Feb!$I$42:$I$52</definedName>
    <definedName name="Actual_Expenses_YEARLY">YEARLY!$I$42:$I$52</definedName>
    <definedName name="Actual_Income_Apr">'Apr '!$D$42:$D$49</definedName>
    <definedName name="Actual_Income_Aug">Aug!$D$42:$D$49</definedName>
    <definedName name="Actual_Income_Dec">Dec!$D$42:$D$49</definedName>
    <definedName name="Actual_Income_Feb">Feb!$D$42:$D$49</definedName>
    <definedName name="Actual_Income_Jan" localSheetId="5">'Apr '!$D$42:$D$49</definedName>
    <definedName name="Actual_Income_Jan" localSheetId="9">Aug!$D$42:$D$49</definedName>
    <definedName name="Actual_Income_Jan" localSheetId="13">Dec!$D$42:$D$49</definedName>
    <definedName name="Actual_Income_Jan" localSheetId="3">Feb!$D$42:$D$49</definedName>
    <definedName name="Actual_Income_Jan">Jan!$D$42:$D$49</definedName>
    <definedName name="Actual_Income_Jul">Jul!$D$42:$D$49</definedName>
    <definedName name="Actual_Income_Jun">Jun!$D$42:$D$49</definedName>
    <definedName name="Actual_Income_Mar">Mar!$D$42:$D$49</definedName>
    <definedName name="Actual_Income_May">May!$D$42:$D$49</definedName>
    <definedName name="Actual_Income_Nov">Nov!$D$42:$D$49</definedName>
    <definedName name="Actual_Income_Oct">Oct!$D$42:$D$49</definedName>
    <definedName name="Actual_Income_Sep">Sep!$D$42:$D$49</definedName>
    <definedName name="Actual_Income_YEARLY">YEARLY!$D$42:$D$49</definedName>
    <definedName name="Actual_Perc_Goal">'Savings and Investments'!$AB$24</definedName>
    <definedName name="Actual_Perc_SavingInvestments">'Savings and Investments'!$AD$24</definedName>
    <definedName name="Annual_Interest_RateComp_1" localSheetId="0">InterestCalculators!#REF!</definedName>
    <definedName name="Annual_Interest_RateComp_1" localSheetId="1">InterestCalculators!#REF!</definedName>
    <definedName name="Annual_Interest_RateComp_1">InterestCalculators!#REF!</definedName>
    <definedName name="Annual_Interest_RateComp_2" localSheetId="0">InterestCalculators!#REF!</definedName>
    <definedName name="Annual_Interest_RateComp_2" localSheetId="1">InterestCalculators!#REF!</definedName>
    <definedName name="Annual_Interest_RateComp_2">InterestCalculators!#REF!</definedName>
    <definedName name="Annual_Interest_RateComp_3" localSheetId="0">InterestCalculators!#REF!</definedName>
    <definedName name="Annual_Interest_RateComp_3" localSheetId="1">InterestCalculators!#REF!</definedName>
    <definedName name="Annual_Interest_RateComp_3">InterestCalculators!#REF!</definedName>
    <definedName name="Annual_Payment">'Financial Scorecard'!$U$23:$U$30</definedName>
    <definedName name="Annual_Payment_Friends_Family">'Financial Scorecard'!$U$42:$U$46</definedName>
    <definedName name="Annual_Payment_Informal">'Financial Scorecard'!$U$34:$U$38</definedName>
    <definedName name="Begin_date_1" localSheetId="0">InterestCalculators!#REF!</definedName>
    <definedName name="Begin_date_1" localSheetId="1">InterestCalculators!#REF!</definedName>
    <definedName name="Begin_date_1">InterestCalculators!#REF!</definedName>
    <definedName name="Begin_date_2" localSheetId="0">InterestCalculators!#REF!</definedName>
    <definedName name="Begin_date_2" localSheetId="1">InterestCalculators!#REF!</definedName>
    <definedName name="Begin_date_2">InterestCalculators!#REF!</definedName>
    <definedName name="Begin_date_3" localSheetId="0">InterestCalculators!#REF!</definedName>
    <definedName name="Begin_date_3" localSheetId="1">InterestCalculators!#REF!</definedName>
    <definedName name="Begin_date_3">InterestCalculators!#REF!</definedName>
    <definedName name="Budgeted_Expenses_Apr">'Apr '!$H$42:$H$52</definedName>
    <definedName name="Budgeted_Expenses_Aug">Aug!$H$42:$H$52</definedName>
    <definedName name="Budgeted_Expenses_Dec">Dec!$H$42:$H$52</definedName>
    <definedName name="Budgeted_Expenses_Feb">Feb!$H$42:$H$52</definedName>
    <definedName name="Budgeted_Expenses_Jan" localSheetId="5">'Apr '!$H$42:$H$52</definedName>
    <definedName name="Budgeted_Expenses_Jan" localSheetId="9">Aug!$H$42:$H$52</definedName>
    <definedName name="Budgeted_Expenses_Jan" localSheetId="13">Dec!$H$42:$H$52</definedName>
    <definedName name="Budgeted_Expenses_Jan" localSheetId="3">Feb!$H$42:$H$52</definedName>
    <definedName name="Budgeted_Expenses_Jan">Jan!$H$42:$H$52</definedName>
    <definedName name="Budgeted_Expenses_Jul">Jul!$H$42:$H$52</definedName>
    <definedName name="Budgeted_Expenses_Jun">Jun!$H$42:$H$52</definedName>
    <definedName name="Budgeted_Expenses_Mar">Mar!$H$42:$H$52</definedName>
    <definedName name="Budgeted_Expenses_May">May!$H$42:$H$52</definedName>
    <definedName name="Budgeted_Expenses_Nov">Nov!$H$42:$H$52</definedName>
    <definedName name="Budgeted_Expenses_Oct">Oct!$H$42:$H$52</definedName>
    <definedName name="Budgeted_Expenses_Sep">Sep!$H$42:$H$52</definedName>
    <definedName name="Budgeted_Expenses_YEARLY">YEARLY!$H$42:$H$52</definedName>
    <definedName name="Budgeted_Income_Apr">'Apr '!$C$42:$C$49</definedName>
    <definedName name="Budgeted_Income_Aug">Aug!$C$42:$C$49</definedName>
    <definedName name="Budgeted_Income_Dec">Dec!$C$42:$C$49</definedName>
    <definedName name="Budgeted_Income_Feb">Feb!$C$42:$C$49</definedName>
    <definedName name="Budgeted_Income_Jan" localSheetId="5">'Apr '!$C$42:$C$49</definedName>
    <definedName name="Budgeted_Income_Jan" localSheetId="9">Aug!$C$42:$C$49</definedName>
    <definedName name="Budgeted_Income_Jan" localSheetId="13">Dec!$C$42:$C$49</definedName>
    <definedName name="Budgeted_Income_Jan" localSheetId="3">Feb!$C$42:$C$49</definedName>
    <definedName name="Budgeted_Income_Jan">Jan!$C$42:$C$49</definedName>
    <definedName name="Budgeted_Income_Jul">Jul!$C$42:$C$49</definedName>
    <definedName name="Budgeted_Income_Jun">Jun!$C$42:$C$49</definedName>
    <definedName name="Budgeted_Income_Mar">Mar!$C$42:$C$49</definedName>
    <definedName name="Budgeted_Income_May">May!$C$42:$C$49</definedName>
    <definedName name="Budgeted_Income_Nov">Nov!$C$42:$C$49</definedName>
    <definedName name="Budgeted_Income_Oct">Oct!$C$42:$C$49</definedName>
    <definedName name="Budgeted_Income_Sep">Sep!$C$42:$C$49</definedName>
    <definedName name="Budgeted_Income_YEARLY">YEARLY!$C$42:$C$49</definedName>
    <definedName name="Credit_Comp_Deposit_1" localSheetId="0">InterestCalculators!#REF!</definedName>
    <definedName name="Credit_Comp_Deposit_1" localSheetId="1">InterestCalculators!#REF!</definedName>
    <definedName name="Credit_Comp_Deposit_1">InterestCalculators!#REF!</definedName>
    <definedName name="Credit_Comp_Deposit_2" localSheetId="0">InterestCalculators!#REF!</definedName>
    <definedName name="Credit_Comp_Deposit_2" localSheetId="1">InterestCalculators!#REF!</definedName>
    <definedName name="Credit_Comp_Deposit_2">InterestCalculators!#REF!</definedName>
    <definedName name="Credit_Comp_Deposit_3" localSheetId="0">InterestCalculators!#REF!</definedName>
    <definedName name="Credit_Comp_Deposit_3" localSheetId="1">InterestCalculators!#REF!</definedName>
    <definedName name="Credit_Comp_Deposit_3">InterestCalculators!#REF!</definedName>
    <definedName name="Deductions_Apr">'Apr '!$Y$47</definedName>
    <definedName name="Deductions_Mar">Mar!$Y$47</definedName>
    <definedName name="Expense1_ActualApr">'Apr '!$I$42</definedName>
    <definedName name="Expense1_ActualAug">Aug!$I$42</definedName>
    <definedName name="Expense1_ActualDec">Dec!$I$42</definedName>
    <definedName name="Expense1_ActualFeb">Feb!$I$42</definedName>
    <definedName name="Expense1_ActualJan" localSheetId="5">'Apr '!$I$42</definedName>
    <definedName name="Expense1_ActualJan" localSheetId="9">Aug!$I$42</definedName>
    <definedName name="Expense1_ActualJan" localSheetId="13">Dec!$I$42</definedName>
    <definedName name="Expense1_ActualJan" localSheetId="3">Feb!$I$42</definedName>
    <definedName name="Expense1_ActualJan">Jan!$I$42</definedName>
    <definedName name="Expense1_ActualJul">Jul!$I$42</definedName>
    <definedName name="Expense1_ActualJun">Jun!$I$42</definedName>
    <definedName name="Expense1_ActualMar">Mar!$I$42</definedName>
    <definedName name="Expense1_ActualMay">May!$I$42</definedName>
    <definedName name="Expense1_ActualNov">Nov!$I$42</definedName>
    <definedName name="Expense1_ActualOct">Oct!$I$42</definedName>
    <definedName name="Expense1_ActualSep">Sep!$I$42</definedName>
    <definedName name="Expense1_ActualYEARLY">YEARLY!$I$42</definedName>
    <definedName name="Expense1_BudgetApr">'Apr '!$H$42</definedName>
    <definedName name="Expense1_BudgetAug">Aug!$H$42</definedName>
    <definedName name="Expense1_BudgetDec">Dec!$H$42</definedName>
    <definedName name="Expense1_BudgetFeb">Feb!$H$42</definedName>
    <definedName name="Expense1_BudgetJan" localSheetId="5">'Apr '!$H$42</definedName>
    <definedName name="Expense1_BudgetJan" localSheetId="9">Aug!$H$42</definedName>
    <definedName name="Expense1_BudgetJan" localSheetId="13">Dec!$H$42</definedName>
    <definedName name="Expense1_BudgetJan" localSheetId="3">Feb!$H$42</definedName>
    <definedName name="Expense1_BudgetJan">Jan!$H$42</definedName>
    <definedName name="Expense1_BudgetJul">Jul!$H$42</definedName>
    <definedName name="Expense1_BudgetJun">Jun!$H$42</definedName>
    <definedName name="Expense1_BudgetMar">Mar!$H$42</definedName>
    <definedName name="Expense1_BudgetMay">May!$H$42</definedName>
    <definedName name="Expense1_BudgetNov">Nov!$H$42</definedName>
    <definedName name="Expense1_BudgetOct">Oct!$H$42</definedName>
    <definedName name="Expense1_BudgetSep">Sep!$H$42</definedName>
    <definedName name="Expense1_BudgetYEARLY">YEARLY!$H$42</definedName>
    <definedName name="Expense10_ActualApr">'Apr '!$I$51</definedName>
    <definedName name="Expense10_ActualAug">Aug!$I$51</definedName>
    <definedName name="Expense10_ActualDec">Dec!$I$51</definedName>
    <definedName name="Expense10_ActualFeb" localSheetId="5">#REF!</definedName>
    <definedName name="Expense10_ActualFeb" localSheetId="9">#REF!</definedName>
    <definedName name="Expense10_ActualFeb" localSheetId="13">#REF!</definedName>
    <definedName name="Expense10_ActualFeb" localSheetId="3">Feb!$I$51</definedName>
    <definedName name="Expense10_ActualFeb" localSheetId="0">#REF!</definedName>
    <definedName name="Expense10_ActualFeb" localSheetId="8">#REF!</definedName>
    <definedName name="Expense10_ActualFeb" localSheetId="7">#REF!</definedName>
    <definedName name="Expense10_ActualFeb" localSheetId="4">#REF!</definedName>
    <definedName name="Expense10_ActualFeb" localSheetId="6">#REF!</definedName>
    <definedName name="Expense10_ActualFeb" localSheetId="1">#REF!</definedName>
    <definedName name="Expense10_ActualFeb" localSheetId="12">#REF!</definedName>
    <definedName name="Expense10_ActualFeb" localSheetId="11">#REF!</definedName>
    <definedName name="Expense10_ActualFeb" localSheetId="10">#REF!</definedName>
    <definedName name="Expense10_ActualFeb" localSheetId="14">#REF!</definedName>
    <definedName name="Expense10_ActualFeb">#REF!</definedName>
    <definedName name="Expense10_ActualJan" localSheetId="5">'Apr '!$I$51</definedName>
    <definedName name="Expense10_ActualJan" localSheetId="9">Aug!$I$51</definedName>
    <definedName name="Expense10_ActualJan" localSheetId="13">Dec!$I$51</definedName>
    <definedName name="Expense10_ActualJan" localSheetId="3">Feb!$I$51</definedName>
    <definedName name="Expense10_ActualJan">Jan!$I$51</definedName>
    <definedName name="Expense10_ActualJul">Jul!$I$51</definedName>
    <definedName name="Expense10_ActualJun">Jun!$I$51</definedName>
    <definedName name="Expense10_ActualMar">Mar!$I$51</definedName>
    <definedName name="Expense10_ActualMay">May!$I$51</definedName>
    <definedName name="Expense10_ActualNov">Nov!$I$51</definedName>
    <definedName name="Expense10_ActualOct">Oct!$I$51</definedName>
    <definedName name="Expense10_ActualSep">Sep!$I$51</definedName>
    <definedName name="Expense10_ActualYEARLY">YEARLY!$I$51</definedName>
    <definedName name="Expense10_BudgetApr">'Apr '!$H$51</definedName>
    <definedName name="Expense10_BudgetAug">Aug!$H$51</definedName>
    <definedName name="Expense10_BudgetDec">Dec!$H$51</definedName>
    <definedName name="Expense10_BudgetFeb" localSheetId="5">#REF!</definedName>
    <definedName name="Expense10_BudgetFeb" localSheetId="9">#REF!</definedName>
    <definedName name="Expense10_BudgetFeb" localSheetId="13">#REF!</definedName>
    <definedName name="Expense10_BudgetFeb" localSheetId="3">Feb!$H$51</definedName>
    <definedName name="Expense10_BudgetFeb" localSheetId="0">#REF!</definedName>
    <definedName name="Expense10_BudgetFeb" localSheetId="8">#REF!</definedName>
    <definedName name="Expense10_BudgetFeb" localSheetId="7">#REF!</definedName>
    <definedName name="Expense10_BudgetFeb" localSheetId="4">#REF!</definedName>
    <definedName name="Expense10_BudgetFeb" localSheetId="6">#REF!</definedName>
    <definedName name="Expense10_BudgetFeb" localSheetId="1">#REF!</definedName>
    <definedName name="Expense10_BudgetFeb" localSheetId="12">#REF!</definedName>
    <definedName name="Expense10_BudgetFeb" localSheetId="11">#REF!</definedName>
    <definedName name="Expense10_BudgetFeb" localSheetId="10">#REF!</definedName>
    <definedName name="Expense10_BudgetFeb" localSheetId="14">#REF!</definedName>
    <definedName name="Expense10_BudgetFeb">#REF!</definedName>
    <definedName name="Expense10_BudgetJan" localSheetId="5">'Apr '!$H$51</definedName>
    <definedName name="Expense10_BudgetJan" localSheetId="9">Aug!$H$51</definedName>
    <definedName name="Expense10_BudgetJan" localSheetId="13">Dec!$H$51</definedName>
    <definedName name="Expense10_BudgetJan" localSheetId="3">Feb!$H$51</definedName>
    <definedName name="Expense10_BudgetJan">Jan!$H$51</definedName>
    <definedName name="Expense10_BudgetJul">Jul!$H$51</definedName>
    <definedName name="Expense10_BudgetJun">Jun!$H$51</definedName>
    <definedName name="Expense10_BudgetMar">Mar!$H$51</definedName>
    <definedName name="Expense10_BudgetMay">May!$H$51</definedName>
    <definedName name="Expense10_BudgetNov">Nov!$H$51</definedName>
    <definedName name="Expense10_BudgetOct">Oct!$H$51</definedName>
    <definedName name="Expense10_BudgetSep">Sep!$H$51</definedName>
    <definedName name="Expense10_BudgetYEARLY">YEARLY!$H$51</definedName>
    <definedName name="Expense11_ActualApr">'Apr '!$I$52</definedName>
    <definedName name="Expense11_ActualAug">Aug!$I$52</definedName>
    <definedName name="Expense11_ActualDec">Dec!$I$52</definedName>
    <definedName name="Expense11_ActualFeb" localSheetId="5">#REF!</definedName>
    <definedName name="Expense11_ActualFeb" localSheetId="9">#REF!</definedName>
    <definedName name="Expense11_ActualFeb" localSheetId="13">#REF!</definedName>
    <definedName name="Expense11_ActualFeb" localSheetId="3">Feb!$I$52</definedName>
    <definedName name="Expense11_ActualFeb" localSheetId="0">#REF!</definedName>
    <definedName name="Expense11_ActualFeb" localSheetId="8">#REF!</definedName>
    <definedName name="Expense11_ActualFeb" localSheetId="7">#REF!</definedName>
    <definedName name="Expense11_ActualFeb" localSheetId="4">#REF!</definedName>
    <definedName name="Expense11_ActualFeb" localSheetId="6">#REF!</definedName>
    <definedName name="Expense11_ActualFeb" localSheetId="1">#REF!</definedName>
    <definedName name="Expense11_ActualFeb" localSheetId="12">#REF!</definedName>
    <definedName name="Expense11_ActualFeb" localSheetId="11">#REF!</definedName>
    <definedName name="Expense11_ActualFeb" localSheetId="10">#REF!</definedName>
    <definedName name="Expense11_ActualFeb" localSheetId="14">#REF!</definedName>
    <definedName name="Expense11_ActualFeb">#REF!</definedName>
    <definedName name="Expense11_ActualJan" localSheetId="5">'Apr '!$I$52</definedName>
    <definedName name="Expense11_ActualJan" localSheetId="9">Aug!$I$52</definedName>
    <definedName name="Expense11_ActualJan" localSheetId="13">Dec!$I$52</definedName>
    <definedName name="Expense11_ActualJan" localSheetId="3">Feb!$I$52</definedName>
    <definedName name="Expense11_ActualJan">Jan!$I$52</definedName>
    <definedName name="Expense11_ActualJul">Jul!$I$52</definedName>
    <definedName name="Expense11_ActualJun">Jun!$I$52</definedName>
    <definedName name="Expense11_ActualMar">Mar!$I$52</definedName>
    <definedName name="Expense11_ActualMay">May!$I$52</definedName>
    <definedName name="Expense11_ActualNov">Nov!$I$52</definedName>
    <definedName name="Expense11_ActualOct">Oct!$I$52</definedName>
    <definedName name="Expense11_ActualSep">Sep!$I$52</definedName>
    <definedName name="Expense11_ActualYEARLY">YEARLY!$I$52</definedName>
    <definedName name="Expense11_BudgetApr">'Apr '!$H$52</definedName>
    <definedName name="Expense11_BudgetAug">Aug!$H$52</definedName>
    <definedName name="Expense11_BudgetDec">Dec!$H$52</definedName>
    <definedName name="Expense11_BudgetFeb" localSheetId="5">#REF!</definedName>
    <definedName name="Expense11_BudgetFeb" localSheetId="9">#REF!</definedName>
    <definedName name="Expense11_BudgetFeb" localSheetId="13">#REF!</definedName>
    <definedName name="Expense11_BudgetFeb" localSheetId="3">Feb!$H$52</definedName>
    <definedName name="Expense11_BudgetFeb" localSheetId="0">#REF!</definedName>
    <definedName name="Expense11_BudgetFeb" localSheetId="8">#REF!</definedName>
    <definedName name="Expense11_BudgetFeb" localSheetId="7">#REF!</definedName>
    <definedName name="Expense11_BudgetFeb" localSheetId="4">#REF!</definedName>
    <definedName name="Expense11_BudgetFeb" localSheetId="6">#REF!</definedName>
    <definedName name="Expense11_BudgetFeb" localSheetId="1">#REF!</definedName>
    <definedName name="Expense11_BudgetFeb" localSheetId="12">#REF!</definedName>
    <definedName name="Expense11_BudgetFeb" localSheetId="11">#REF!</definedName>
    <definedName name="Expense11_BudgetFeb" localSheetId="10">#REF!</definedName>
    <definedName name="Expense11_BudgetFeb" localSheetId="14">#REF!</definedName>
    <definedName name="Expense11_BudgetFeb">#REF!</definedName>
    <definedName name="Expense11_BudgetJan" localSheetId="5">'Apr '!$H$52</definedName>
    <definedName name="Expense11_BudgetJan" localSheetId="9">Aug!$H$52</definedName>
    <definedName name="Expense11_BudgetJan" localSheetId="13">Dec!$H$52</definedName>
    <definedName name="Expense11_BudgetJan" localSheetId="3">Feb!$H$52</definedName>
    <definedName name="Expense11_BudgetJan">Jan!$H$52</definedName>
    <definedName name="Expense11_BudgetJul">Jul!$H$52</definedName>
    <definedName name="Expense11_BudgetJun">Jun!$H$52</definedName>
    <definedName name="Expense11_BudgetMar">Mar!$H$52</definedName>
    <definedName name="Expense11_BudgetMay">May!$H$52</definedName>
    <definedName name="Expense11_BudgetNov">Nov!$H$52</definedName>
    <definedName name="Expense11_BudgetOct">Oct!$H$52</definedName>
    <definedName name="Expense11_BudgetSep">Sep!$H$52</definedName>
    <definedName name="Expense11_BudgetYEARLY">YEARLY!$H$52</definedName>
    <definedName name="Expense2_ActualApr">'Apr '!$I$43</definedName>
    <definedName name="Expense2_ActualAug">Aug!$I$43</definedName>
    <definedName name="Expense2_ActualDec">Dec!$I$43</definedName>
    <definedName name="Expense2_ActualFeb">Feb!$I$43</definedName>
    <definedName name="Expense2_ActualJan" localSheetId="5">'Apr '!$I$43</definedName>
    <definedName name="Expense2_ActualJan" localSheetId="9">Aug!$I$43</definedName>
    <definedName name="Expense2_ActualJan" localSheetId="13">Dec!$I$43</definedName>
    <definedName name="Expense2_ActualJan" localSheetId="3">Feb!$I$43</definedName>
    <definedName name="Expense2_ActualJan">Jan!$I$43</definedName>
    <definedName name="Expense2_ActualJul">Jul!$I$43</definedName>
    <definedName name="Expense2_ActualJun">Jun!$I$43</definedName>
    <definedName name="Expense2_ActualMar">Mar!$I$43</definedName>
    <definedName name="Expense2_ActualMay">May!$I$43</definedName>
    <definedName name="Expense2_ActualNov">Nov!$I$43</definedName>
    <definedName name="Expense2_ActualOct">Oct!$I$43</definedName>
    <definedName name="Expense2_ActualSep">Sep!$I$43</definedName>
    <definedName name="Expense2_ActualYEARLY">YEARLY!$I$43</definedName>
    <definedName name="Expense2_BudgetApr">'Apr '!$H$43</definedName>
    <definedName name="Expense2_BudgetAug">Aug!$H$43</definedName>
    <definedName name="Expense2_BudgetDec">Dec!$H$43</definedName>
    <definedName name="Expense2_BudgetFeb">Feb!$H$43</definedName>
    <definedName name="Expense2_BudgetJan" localSheetId="5">'Apr '!$H$43</definedName>
    <definedName name="Expense2_BudgetJan" localSheetId="9">Aug!$H$43</definedName>
    <definedName name="Expense2_BudgetJan" localSheetId="13">Dec!$H$43</definedName>
    <definedName name="Expense2_BudgetJan" localSheetId="3">Feb!$H$43</definedName>
    <definedName name="Expense2_BudgetJan">Jan!$H$43</definedName>
    <definedName name="Expense2_BudgetJul">Jul!$H$43</definedName>
    <definedName name="Expense2_BudgetJun">Jun!$H$43</definedName>
    <definedName name="Expense2_BudgetMar">Mar!$H$43</definedName>
    <definedName name="Expense2_BudgetMay">May!$H$43</definedName>
    <definedName name="Expense2_BudgetNov">Nov!$H$43</definedName>
    <definedName name="Expense2_BudgetOct">Oct!$H$43</definedName>
    <definedName name="Expense2_BudgetSep">Sep!$H$43</definedName>
    <definedName name="Expense2_BudgetYEARLY">YEARLY!$H$43</definedName>
    <definedName name="Expense3_ActualApr">'Apr '!$I$44</definedName>
    <definedName name="Expense3_ActualAug">Aug!$I$44</definedName>
    <definedName name="Expense3_ActualDec">Dec!$I$44</definedName>
    <definedName name="Expense3_ActualFeb">Feb!$I$44</definedName>
    <definedName name="Expense3_ActualJan" localSheetId="5">'Apr '!$I$44</definedName>
    <definedName name="Expense3_ActualJan" localSheetId="9">Aug!$I$44</definedName>
    <definedName name="Expense3_ActualJan" localSheetId="13">Dec!$I$44</definedName>
    <definedName name="Expense3_ActualJan" localSheetId="3">Feb!$I$44</definedName>
    <definedName name="Expense3_ActualJan">Jan!$I$44</definedName>
    <definedName name="Expense3_ActualJul">Jul!$I$44</definedName>
    <definedName name="Expense3_ActualJun">Jun!$I$44</definedName>
    <definedName name="Expense3_ActualMar">Mar!$I$44</definedName>
    <definedName name="Expense3_ActualMay">May!$I$44</definedName>
    <definedName name="Expense3_ActualNov">Nov!$I$44</definedName>
    <definedName name="Expense3_ActualOct">Oct!$I$44</definedName>
    <definedName name="Expense3_ActualSep">Sep!$I$44</definedName>
    <definedName name="Expense3_ActualYEARLY">YEARLY!$I$44</definedName>
    <definedName name="Expense3_BudgetApr">'Apr '!$H$44</definedName>
    <definedName name="Expense3_BudgetAug">Aug!$H$44</definedName>
    <definedName name="Expense3_BudgetDec">Dec!$H$44</definedName>
    <definedName name="Expense3_BudgetFeb">Feb!$H$44</definedName>
    <definedName name="Expense3_BudgetJan" localSheetId="5">'Apr '!$H$44</definedName>
    <definedName name="Expense3_BudgetJan" localSheetId="9">Aug!$H$44</definedName>
    <definedName name="Expense3_BudgetJan" localSheetId="13">Dec!$H$44</definedName>
    <definedName name="Expense3_BudgetJan" localSheetId="3">Feb!$H$44</definedName>
    <definedName name="Expense3_BudgetJan">Jan!$H$44</definedName>
    <definedName name="Expense3_BudgetJul">Jul!$H$44</definedName>
    <definedName name="Expense3_BudgetJun">Jun!$H$44</definedName>
    <definedName name="Expense3_BudgetMar">Mar!$H$44</definedName>
    <definedName name="Expense3_BudgetMay">May!$H$44</definedName>
    <definedName name="Expense3_BudgetNov">Nov!$H$44</definedName>
    <definedName name="Expense3_BudgetOct">Oct!$H$44</definedName>
    <definedName name="Expense3_BudgetSep">Sep!$H$44</definedName>
    <definedName name="Expense3_BudgetYEARLY">YEARLY!$H$44</definedName>
    <definedName name="Expense4_ActualApr">'Apr '!$I$45</definedName>
    <definedName name="Expense4_ActualAug">Aug!$I$45</definedName>
    <definedName name="Expense4_ActualDec">Dec!$I$45</definedName>
    <definedName name="Expense4_ActualFeb">Feb!$I$45</definedName>
    <definedName name="Expense4_ActualJan" localSheetId="5">'Apr '!$I$45</definedName>
    <definedName name="Expense4_ActualJan" localSheetId="9">Aug!$I$45</definedName>
    <definedName name="Expense4_ActualJan" localSheetId="13">Dec!$I$45</definedName>
    <definedName name="Expense4_ActualJan" localSheetId="3">Feb!$I$45</definedName>
    <definedName name="Expense4_ActualJan">Jan!$I$45</definedName>
    <definedName name="Expense4_ActualJul">Jul!$I$45</definedName>
    <definedName name="Expense4_ActualJun">Jun!$I$45</definedName>
    <definedName name="Expense4_ActualMar">Mar!$I$45</definedName>
    <definedName name="Expense4_ActualNov">Nov!$I$45</definedName>
    <definedName name="Expense4_ActualOct">Oct!$I$45</definedName>
    <definedName name="Expense4_ActualSep">Sep!$I$45</definedName>
    <definedName name="Expense4_ActualYEARLY">YEARLY!$I$45</definedName>
    <definedName name="Expense4_BudgetApr">'Apr '!$H$45</definedName>
    <definedName name="Expense4_BudgetAug">Aug!$H$45</definedName>
    <definedName name="Expense4_BudgetDec">Dec!$H$45</definedName>
    <definedName name="Expense4_BudgetFeb">Feb!$H$45</definedName>
    <definedName name="Expense4_BudgetJan" localSheetId="5">'Apr '!$H$45</definedName>
    <definedName name="Expense4_BudgetJan" localSheetId="9">Aug!$H$45</definedName>
    <definedName name="Expense4_BudgetJan" localSheetId="13">Dec!$H$45</definedName>
    <definedName name="Expense4_BudgetJan" localSheetId="3">Feb!$H$45</definedName>
    <definedName name="Expense4_BudgetJan">Jan!$H$45</definedName>
    <definedName name="Expense4_BudgetJul">Jul!$H$45</definedName>
    <definedName name="Expense4_BudgetJun">Jun!$H$45</definedName>
    <definedName name="Expense4_BudgetMar">Mar!$H$45</definedName>
    <definedName name="Expense4_BudgetMay">May!$H$45</definedName>
    <definedName name="Expense4_BudgetNov">Nov!$H$45</definedName>
    <definedName name="Expense4_BudgetOct">Oct!$H$45</definedName>
    <definedName name="Expense4_BudgetSep">Sep!$H$45</definedName>
    <definedName name="Expense4_BudgetYEARLY">YEARLY!$H$45</definedName>
    <definedName name="Expense4ActualMay">May!$I$45</definedName>
    <definedName name="Expense5_ActualApr">'Apr '!$I$46</definedName>
    <definedName name="Expense5_ActualAug">Aug!$I$46</definedName>
    <definedName name="Expense5_ActualDec">Dec!$I$46</definedName>
    <definedName name="Expense5_ActualFeb">Feb!$I$46</definedName>
    <definedName name="Expense5_ActualJan" localSheetId="5">'Apr '!$I$46</definedName>
    <definedName name="Expense5_ActualJan" localSheetId="9">Aug!$I$46</definedName>
    <definedName name="Expense5_ActualJan" localSheetId="13">Dec!$I$46</definedName>
    <definedName name="Expense5_ActualJan" localSheetId="3">Feb!$I$46</definedName>
    <definedName name="Expense5_ActualJan">Jan!$I$46</definedName>
    <definedName name="Expense5_ActualJul">Jul!$I$46</definedName>
    <definedName name="Expense5_ActualJun">Jun!$I$46</definedName>
    <definedName name="Expense5_ActualMar">Mar!$I$46</definedName>
    <definedName name="Expense5_ActualMay">May!$I$46</definedName>
    <definedName name="Expense5_ActualNov">Nov!$I$46</definedName>
    <definedName name="Expense5_ActualOct">Oct!$I$46</definedName>
    <definedName name="Expense5_ActualSep">Sep!$I$46</definedName>
    <definedName name="Expense5_ActualYEARLY">YEARLY!$I$46</definedName>
    <definedName name="Expense5_BudgetApr">'Apr '!$H$46</definedName>
    <definedName name="Expense5_BudgetAug">Aug!$H$46</definedName>
    <definedName name="Expense5_BudgetDec">Dec!$H$46</definedName>
    <definedName name="Expense5_BudgetFeb">Feb!$H$46</definedName>
    <definedName name="Expense5_BudgetJan" localSheetId="5">'Apr '!$H$46</definedName>
    <definedName name="Expense5_BudgetJan" localSheetId="9">Aug!$H$46</definedName>
    <definedName name="Expense5_BudgetJan" localSheetId="13">Dec!$H$46</definedName>
    <definedName name="Expense5_BudgetJan" localSheetId="3">Feb!$H$46</definedName>
    <definedName name="Expense5_BudgetJan">Jan!$H$46</definedName>
    <definedName name="Expense5_BudgetJul">Jul!$H$46</definedName>
    <definedName name="Expense5_BudgetJun">Jun!$H$46</definedName>
    <definedName name="Expense5_BudgetMar">Mar!$H$46</definedName>
    <definedName name="Expense5_BudgetMay">May!$H$46</definedName>
    <definedName name="Expense5_BudgetNov">Nov!$H$46</definedName>
    <definedName name="Expense5_BudgetOct">Oct!$H$46</definedName>
    <definedName name="Expense5_BudgetSep">Sep!$H$46</definedName>
    <definedName name="Expense5_BudgetYEARLY">YEARLY!$H$46</definedName>
    <definedName name="Expense6_ActualApr">'Apr '!$I$47</definedName>
    <definedName name="Expense6_ActualAug">Aug!$I$47</definedName>
    <definedName name="Expense6_ActualDec">Dec!$I$47</definedName>
    <definedName name="Expense6_ActualFeb" localSheetId="5">#REF!</definedName>
    <definedName name="Expense6_ActualFeb" localSheetId="9">#REF!</definedName>
    <definedName name="Expense6_ActualFeb" localSheetId="13">#REF!</definedName>
    <definedName name="Expense6_ActualFeb" localSheetId="3">Feb!$I$47</definedName>
    <definedName name="Expense6_ActualFeb" localSheetId="0">#REF!</definedName>
    <definedName name="Expense6_ActualFeb" localSheetId="8">#REF!</definedName>
    <definedName name="Expense6_ActualFeb" localSheetId="7">#REF!</definedName>
    <definedName name="Expense6_ActualFeb" localSheetId="4">#REF!</definedName>
    <definedName name="Expense6_ActualFeb" localSheetId="6">#REF!</definedName>
    <definedName name="Expense6_ActualFeb" localSheetId="1">#REF!</definedName>
    <definedName name="Expense6_ActualFeb" localSheetId="12">#REF!</definedName>
    <definedName name="Expense6_ActualFeb" localSheetId="11">#REF!</definedName>
    <definedName name="Expense6_ActualFeb" localSheetId="10">#REF!</definedName>
    <definedName name="Expense6_ActualFeb" localSheetId="14">#REF!</definedName>
    <definedName name="Expense6_ActualFeb">#REF!</definedName>
    <definedName name="Expense6_ActualJan" localSheetId="5">'Apr '!$I$47</definedName>
    <definedName name="Expense6_ActualJan" localSheetId="9">Aug!$I$47</definedName>
    <definedName name="Expense6_ActualJan" localSheetId="13">Dec!$I$47</definedName>
    <definedName name="Expense6_ActualJan" localSheetId="3">Feb!$I$47</definedName>
    <definedName name="Expense6_ActualJan">Jan!$I$47</definedName>
    <definedName name="Expense6_ActualJul">Jul!$I$47</definedName>
    <definedName name="Expense6_ActualJun">Jun!$I$47</definedName>
    <definedName name="Expense6_ActualMar">Mar!$I$47</definedName>
    <definedName name="Expense6_ActualNov">Nov!$I$47</definedName>
    <definedName name="Expense6_ActualOct">Oct!$I$47</definedName>
    <definedName name="Expense6_ActualSep">Sep!$I$47</definedName>
    <definedName name="Expense6_ActualYEARLY">YEARLY!$I$47</definedName>
    <definedName name="Expense6_BudgetApr">'Apr '!$H$47</definedName>
    <definedName name="Expense6_BudgetAug">Aug!$H$47</definedName>
    <definedName name="Expense6_BudgetDec">Dec!$H$47</definedName>
    <definedName name="Expense6_BudgetFeb" localSheetId="5">#REF!</definedName>
    <definedName name="Expense6_BudgetFeb" localSheetId="9">#REF!</definedName>
    <definedName name="Expense6_BudgetFeb" localSheetId="13">#REF!</definedName>
    <definedName name="Expense6_BudgetFeb" localSheetId="3">Feb!$H$47</definedName>
    <definedName name="Expense6_BudgetFeb" localSheetId="0">#REF!</definedName>
    <definedName name="Expense6_BudgetFeb" localSheetId="8">#REF!</definedName>
    <definedName name="Expense6_BudgetFeb" localSheetId="7">#REF!</definedName>
    <definedName name="Expense6_BudgetFeb" localSheetId="4">#REF!</definedName>
    <definedName name="Expense6_BudgetFeb" localSheetId="6">#REF!</definedName>
    <definedName name="Expense6_BudgetFeb" localSheetId="1">#REF!</definedName>
    <definedName name="Expense6_BudgetFeb" localSheetId="12">#REF!</definedName>
    <definedName name="Expense6_BudgetFeb" localSheetId="11">#REF!</definedName>
    <definedName name="Expense6_BudgetFeb" localSheetId="10">#REF!</definedName>
    <definedName name="Expense6_BudgetFeb" localSheetId="14">#REF!</definedName>
    <definedName name="Expense6_BudgetFeb">#REF!</definedName>
    <definedName name="Expense6_BudgetJan" localSheetId="5">'Apr '!$H$47</definedName>
    <definedName name="Expense6_BudgetJan" localSheetId="9">Aug!$H$47</definedName>
    <definedName name="Expense6_BudgetJan" localSheetId="13">Dec!$H$47</definedName>
    <definedName name="Expense6_BudgetJan" localSheetId="3">Feb!$H$47</definedName>
    <definedName name="Expense6_BudgetJan">Jan!$H$47</definedName>
    <definedName name="Expense6_BudgetJul">Jul!$H$47</definedName>
    <definedName name="Expense6_BudgetJun">Jun!$H$47</definedName>
    <definedName name="Expense6_BudgetMar">Mar!$H$47</definedName>
    <definedName name="Expense6_BudgetMay">May!$H$47</definedName>
    <definedName name="Expense6_BudgetNov">Nov!$H$47</definedName>
    <definedName name="Expense6_BudgetOct">Oct!$H$47</definedName>
    <definedName name="Expense6_BudgetSep">Sep!$H$47</definedName>
    <definedName name="Expense6_BudgetYEARLY">YEARLY!$H$47</definedName>
    <definedName name="Expense6ActualMay">May!$I$47</definedName>
    <definedName name="Expense7_ActualApr">'Apr '!$I$48</definedName>
    <definedName name="Expense7_ActualAug">Aug!$I$48</definedName>
    <definedName name="Expense7_ActualDec">Dec!$I$48</definedName>
    <definedName name="Expense7_ActualFeb" localSheetId="5">#REF!</definedName>
    <definedName name="Expense7_ActualFeb" localSheetId="9">#REF!</definedName>
    <definedName name="Expense7_ActualFeb" localSheetId="13">#REF!</definedName>
    <definedName name="Expense7_ActualFeb" localSheetId="3">Feb!$I$48</definedName>
    <definedName name="Expense7_ActualFeb" localSheetId="0">#REF!</definedName>
    <definedName name="Expense7_ActualFeb" localSheetId="8">#REF!</definedName>
    <definedName name="Expense7_ActualFeb" localSheetId="7">#REF!</definedName>
    <definedName name="Expense7_ActualFeb" localSheetId="4">#REF!</definedName>
    <definedName name="Expense7_ActualFeb" localSheetId="6">#REF!</definedName>
    <definedName name="Expense7_ActualFeb" localSheetId="1">#REF!</definedName>
    <definedName name="Expense7_ActualFeb" localSheetId="12">#REF!</definedName>
    <definedName name="Expense7_ActualFeb" localSheetId="11">#REF!</definedName>
    <definedName name="Expense7_ActualFeb" localSheetId="10">#REF!</definedName>
    <definedName name="Expense7_ActualFeb" localSheetId="14">#REF!</definedName>
    <definedName name="Expense7_ActualFeb">#REF!</definedName>
    <definedName name="Expense7_ActualJan" localSheetId="5">'Apr '!$I$48</definedName>
    <definedName name="Expense7_ActualJan" localSheetId="9">Aug!$I$48</definedName>
    <definedName name="Expense7_ActualJan" localSheetId="13">Dec!$I$48</definedName>
    <definedName name="Expense7_ActualJan" localSheetId="3">Feb!$I$48</definedName>
    <definedName name="Expense7_ActualJan">Jan!$I$48</definedName>
    <definedName name="Expense7_ActualJFeb">Feb!$I$48</definedName>
    <definedName name="Expense7_ActualJul">Jul!$I$48</definedName>
    <definedName name="Expense7_ActualJun">Jun!$I$48</definedName>
    <definedName name="Expense7_ActualMar">Mar!$I$48</definedName>
    <definedName name="Expense7_ActualMay">May!$I$48</definedName>
    <definedName name="Expense7_ActualNov">Nov!$I$48</definedName>
    <definedName name="Expense7_ActualOct">Oct!$I$48</definedName>
    <definedName name="Expense7_ActualSep">Sep!$I$48</definedName>
    <definedName name="Expense7_ActualYEARLY">YEARLY!$I$48</definedName>
    <definedName name="Expense7_BudgetApr">'Apr '!$H$48</definedName>
    <definedName name="Expense7_BudgetAug">Aug!$H$48</definedName>
    <definedName name="Expense7_BudgetDec">Dec!$H$48</definedName>
    <definedName name="Expense7_BudgetFeb" localSheetId="5">#REF!</definedName>
    <definedName name="Expense7_BudgetFeb" localSheetId="9">#REF!</definedName>
    <definedName name="Expense7_BudgetFeb" localSheetId="13">#REF!</definedName>
    <definedName name="Expense7_BudgetFeb" localSheetId="3">Feb!$H$48</definedName>
    <definedName name="Expense7_BudgetFeb" localSheetId="0">#REF!</definedName>
    <definedName name="Expense7_BudgetFeb" localSheetId="8">#REF!</definedName>
    <definedName name="Expense7_BudgetFeb" localSheetId="7">#REF!</definedName>
    <definedName name="Expense7_BudgetFeb" localSheetId="4">#REF!</definedName>
    <definedName name="Expense7_BudgetFeb" localSheetId="6">#REF!</definedName>
    <definedName name="Expense7_BudgetFeb" localSheetId="1">#REF!</definedName>
    <definedName name="Expense7_BudgetFeb" localSheetId="12">#REF!</definedName>
    <definedName name="Expense7_BudgetFeb" localSheetId="11">#REF!</definedName>
    <definedName name="Expense7_BudgetFeb" localSheetId="10">#REF!</definedName>
    <definedName name="Expense7_BudgetFeb" localSheetId="14">#REF!</definedName>
    <definedName name="Expense7_BudgetFeb">#REF!</definedName>
    <definedName name="Expense7_BudgetJan" localSheetId="5">'Apr '!$H$48</definedName>
    <definedName name="Expense7_BudgetJan" localSheetId="9">Aug!$H$48</definedName>
    <definedName name="Expense7_BudgetJan" localSheetId="13">Dec!$H$48</definedName>
    <definedName name="Expense7_BudgetJan" localSheetId="3">Feb!$H$48</definedName>
    <definedName name="Expense7_BudgetJan">Jan!$H$48</definedName>
    <definedName name="Expense7_BudgetJul">Jul!$H$48</definedName>
    <definedName name="Expense7_BudgetJun">Jun!$H$48</definedName>
    <definedName name="Expense7_BudgetMar">Mar!$H$48</definedName>
    <definedName name="Expense7_BudgetMay">May!$H$48</definedName>
    <definedName name="Expense7_BudgetNov">Nov!$H$48</definedName>
    <definedName name="Expense7_BudgetOct">Oct!$H$48</definedName>
    <definedName name="Expense7_BudgetSep">Sep!$H$48</definedName>
    <definedName name="Expense7_BudgetYEARLY">YEARLY!$H$48</definedName>
    <definedName name="Expense8_ActualApr">'Apr '!$I$49</definedName>
    <definedName name="Expense8_ActualAug">Aug!$I$49</definedName>
    <definedName name="Expense8_ActualDec">Dec!$I$49</definedName>
    <definedName name="Expense8_ActualFeb" localSheetId="5">#REF!</definedName>
    <definedName name="Expense8_ActualFeb" localSheetId="9">#REF!</definedName>
    <definedName name="Expense8_ActualFeb" localSheetId="13">#REF!</definedName>
    <definedName name="Expense8_ActualFeb" localSheetId="3">Feb!$I$49</definedName>
    <definedName name="Expense8_ActualFeb" localSheetId="0">#REF!</definedName>
    <definedName name="Expense8_ActualFeb" localSheetId="8">#REF!</definedName>
    <definedName name="Expense8_ActualFeb" localSheetId="7">#REF!</definedName>
    <definedName name="Expense8_ActualFeb" localSheetId="4">#REF!</definedName>
    <definedName name="Expense8_ActualFeb" localSheetId="6">#REF!</definedName>
    <definedName name="Expense8_ActualFeb" localSheetId="1">#REF!</definedName>
    <definedName name="Expense8_ActualFeb" localSheetId="12">#REF!</definedName>
    <definedName name="Expense8_ActualFeb" localSheetId="11">#REF!</definedName>
    <definedName name="Expense8_ActualFeb" localSheetId="10">#REF!</definedName>
    <definedName name="Expense8_ActualFeb" localSheetId="14">#REF!</definedName>
    <definedName name="Expense8_ActualFeb">#REF!</definedName>
    <definedName name="Expense8_ActualJan" localSheetId="5">'Apr '!$I$49</definedName>
    <definedName name="Expense8_ActualJan" localSheetId="9">Aug!$I$49</definedName>
    <definedName name="Expense8_ActualJan" localSheetId="13">Dec!$I$49</definedName>
    <definedName name="Expense8_ActualJan" localSheetId="3">Feb!$I$49</definedName>
    <definedName name="Expense8_ActualJan">Jan!$I$49</definedName>
    <definedName name="Expense8_ActualJul">Jul!$I$49</definedName>
    <definedName name="Expense8_ActualJun">Jun!$I$49</definedName>
    <definedName name="Expense8_ActualMar">Mar!$I$49</definedName>
    <definedName name="Expense8_ActualMay">May!$I$49</definedName>
    <definedName name="Expense8_ActualNov">Nov!$I$49</definedName>
    <definedName name="Expense8_ActualOct">Oct!$I$49</definedName>
    <definedName name="Expense8_ActualSep">Sep!$I$49</definedName>
    <definedName name="Expense8_ActualYEARLY">YEARLY!$I$49</definedName>
    <definedName name="Expense8_BudgetApr">'Apr '!$H$49</definedName>
    <definedName name="Expense8_BudgetAug">Aug!$H$49</definedName>
    <definedName name="Expense8_BudgetDec">Dec!$H$49</definedName>
    <definedName name="Expense8_BudgetFeb" localSheetId="5">#REF!</definedName>
    <definedName name="Expense8_BudgetFeb" localSheetId="9">#REF!</definedName>
    <definedName name="Expense8_BudgetFeb" localSheetId="13">#REF!</definedName>
    <definedName name="Expense8_BudgetFeb" localSheetId="3">Feb!$I$42:$I$52</definedName>
    <definedName name="Expense8_BudgetFeb" localSheetId="0">#REF!</definedName>
    <definedName name="Expense8_BudgetFeb" localSheetId="8">#REF!</definedName>
    <definedName name="Expense8_BudgetFeb" localSheetId="7">#REF!</definedName>
    <definedName name="Expense8_BudgetFeb" localSheetId="4">#REF!</definedName>
    <definedName name="Expense8_BudgetFeb" localSheetId="6">#REF!</definedName>
    <definedName name="Expense8_BudgetFeb" localSheetId="1">#REF!</definedName>
    <definedName name="Expense8_BudgetFeb" localSheetId="12">#REF!</definedName>
    <definedName name="Expense8_BudgetFeb" localSheetId="11">#REF!</definedName>
    <definedName name="Expense8_BudgetFeb" localSheetId="10">#REF!</definedName>
    <definedName name="Expense8_BudgetFeb" localSheetId="14">#REF!</definedName>
    <definedName name="Expense8_BudgetFeb">#REF!</definedName>
    <definedName name="Expense8_BudgetFeb8">Feb!$H$49</definedName>
    <definedName name="Expense8_BudgetJan" localSheetId="5">'Apr '!$H$49</definedName>
    <definedName name="Expense8_BudgetJan" localSheetId="9">Aug!$H$49</definedName>
    <definedName name="Expense8_BudgetJan" localSheetId="13">Dec!$H$49</definedName>
    <definedName name="Expense8_BudgetJan" localSheetId="3">Feb!$H$49</definedName>
    <definedName name="Expense8_BudgetJan">Jan!$H$49</definedName>
    <definedName name="Expense8_BudgetJul">Jul!$H$49</definedName>
    <definedName name="Expense8_BudgetJun">Jun!$H$49</definedName>
    <definedName name="Expense8_BudgetMar">Mar!$H$49</definedName>
    <definedName name="Expense8_BudgetMay">May!$H$49</definedName>
    <definedName name="Expense8_BudgetNov">Nov!$H$49</definedName>
    <definedName name="Expense8_BudgetOct">Oct!$H$49</definedName>
    <definedName name="Expense8_BudgetSep">Sep!$H$49</definedName>
    <definedName name="Expense8_BudgetYEARLY">YEARLY!$H$49</definedName>
    <definedName name="Expense8i_BudgetFeb">Feb!$H$49</definedName>
    <definedName name="Expense9_ActualApr">'Apr '!$I$50</definedName>
    <definedName name="Expense9_ActualAug">Aug!$I$50</definedName>
    <definedName name="Expense9_ActualDec">Dec!$I$50</definedName>
    <definedName name="Expense9_ActualFeb">Feb!$I$50</definedName>
    <definedName name="Expense9_ActualJan" localSheetId="5">'Apr '!$I$50</definedName>
    <definedName name="Expense9_ActualJan" localSheetId="9">Aug!$I$50</definedName>
    <definedName name="Expense9_ActualJan" localSheetId="13">Dec!$I$50</definedName>
    <definedName name="Expense9_ActualJan" localSheetId="3">Feb!$I$50</definedName>
    <definedName name="Expense9_ActualJan">Jan!$I$50</definedName>
    <definedName name="Expense9_ActualJul">Jul!$I$50</definedName>
    <definedName name="Expense9_ActualJun">Jun!$I$50</definedName>
    <definedName name="Expense9_ActualMar">Mar!$I$50</definedName>
    <definedName name="Expense9_ActualMay">May!$I$50</definedName>
    <definedName name="Expense9_ActualNov">Nov!$I$50</definedName>
    <definedName name="Expense9_ActualOct">Oct!$I$50</definedName>
    <definedName name="Expense9_ActualSep">Sep!$I$50</definedName>
    <definedName name="Expense9_ActualYEARLY">YEARLY!$I$50</definedName>
    <definedName name="Expense9_BudgetApr">'Apr '!$H$50</definedName>
    <definedName name="Expense9_BudgetAug">Aug!$H$50</definedName>
    <definedName name="Expense9_BudgetDec">Dec!$H$50</definedName>
    <definedName name="Expense9_BudgetFeb">Feb!$H$50</definedName>
    <definedName name="Expense9_BudgetJan" localSheetId="5">'Apr '!$H$50</definedName>
    <definedName name="Expense9_BudgetJan" localSheetId="9">Aug!$H$50</definedName>
    <definedName name="Expense9_BudgetJan" localSheetId="13">Dec!$H$50</definedName>
    <definedName name="Expense9_BudgetJan" localSheetId="3">Feb!$H$50</definedName>
    <definedName name="Expense9_BudgetJan">Jan!$H$50</definedName>
    <definedName name="Expense9_BudgetJul">Jul!$H$50</definedName>
    <definedName name="Expense9_BudgetJun">Jun!$H$50</definedName>
    <definedName name="Expense9_BudgetMar">Mar!$H$50</definedName>
    <definedName name="Expense9_BudgetMay">May!$H$50</definedName>
    <definedName name="Expense9_BudgetNov">Nov!$H$50</definedName>
    <definedName name="Expense9_BudgetOct">Oct!$H$50</definedName>
    <definedName name="Expense9_BudgetSep">Sep!$H$50</definedName>
    <definedName name="Expense9_BudgetYEARLY">YEARLY!$H$50</definedName>
    <definedName name="Expenses_Apr_Overall_Under_Over">'Apr '!$J$53</definedName>
    <definedName name="Expenses_Aug_Overall_Under_Over">Aug!$J$53</definedName>
    <definedName name="Expenses_Dec_Overall_Under_Over">Dec!$J$53</definedName>
    <definedName name="Expenses_Feb_Overall_Under_Over">Feb!$J$53</definedName>
    <definedName name="Expenses_Jan_Overall_Under_Over">Jan!$J$53</definedName>
    <definedName name="Expenses_Jul_Overall_Under_Over">Jul!$J$53</definedName>
    <definedName name="Expenses_Jun_Overall_Under_Over">Jun!$J$53</definedName>
    <definedName name="Expenses_Mar_Overall_Under_Over">Mar!$J$53</definedName>
    <definedName name="Expenses_May_Overall_Under_Over">May!$J$53</definedName>
    <definedName name="Expenses_Name_Aug">Aug!$G$42:$H$52</definedName>
    <definedName name="Expenses_Name_Feb" localSheetId="5">#REF!</definedName>
    <definedName name="Expenses_Name_Feb" localSheetId="9">#REF!</definedName>
    <definedName name="Expenses_Name_Feb" localSheetId="13">#REF!</definedName>
    <definedName name="Expenses_Name_Feb" localSheetId="3">Feb!$G$42:$H$52</definedName>
    <definedName name="Expenses_Name_Feb" localSheetId="0">#REF!</definedName>
    <definedName name="Expenses_Name_Feb" localSheetId="8">#REF!</definedName>
    <definedName name="Expenses_Name_Feb" localSheetId="7">#REF!</definedName>
    <definedName name="Expenses_Name_Feb" localSheetId="4">#REF!</definedName>
    <definedName name="Expenses_Name_Feb" localSheetId="6">#REF!</definedName>
    <definedName name="Expenses_Name_Feb" localSheetId="1">#REF!</definedName>
    <definedName name="Expenses_Name_Feb" localSheetId="12">#REF!</definedName>
    <definedName name="Expenses_Name_Feb" localSheetId="11">#REF!</definedName>
    <definedName name="Expenses_Name_Feb" localSheetId="10">#REF!</definedName>
    <definedName name="Expenses_Name_Feb" localSheetId="14">#REF!</definedName>
    <definedName name="Expenses_Name_Feb">#REF!</definedName>
    <definedName name="Expenses_Name_Jan" localSheetId="5">'Apr '!$G$42:$H$52</definedName>
    <definedName name="Expenses_Name_Jan" localSheetId="9">Aug!$G$42:$H$52</definedName>
    <definedName name="Expenses_Name_Jan" localSheetId="13">Dec!$G$42:$H$52</definedName>
    <definedName name="Expenses_Name_Jan" localSheetId="3">Feb!$G$42:$H$52</definedName>
    <definedName name="Expenses_Name_Jan">Jan!$G$42:$H$52</definedName>
    <definedName name="Expenses_Name_Jul">Jul!$G$42:$H$52</definedName>
    <definedName name="Expenses_Name_Nov">Nov!$G$42:$H$52</definedName>
    <definedName name="Expenses_Name_Oct">Oct!$G$42:$H$52</definedName>
    <definedName name="Expenses_Name_Sep">Sep!$G$42:$H$52</definedName>
    <definedName name="Expenses_Nov_Overall_Under_Over">Nov!$J$53</definedName>
    <definedName name="Expenses_Oct_Overall_Under_Over">Oct!$J$53</definedName>
    <definedName name="Expenses_Sep_Overall_Under_Over">Sep!$J$53</definedName>
    <definedName name="Family_and_Friend_Name_1">'Financial Scorecard'!$B$42</definedName>
    <definedName name="Family_and_Friend_Name_2">'Financial Scorecard'!$B$43</definedName>
    <definedName name="Family_and_Friend_Name_3">'Financial Scorecard'!$B$44</definedName>
    <definedName name="Family_and_Friend_Name_4">'Financial Scorecard'!$B$45</definedName>
    <definedName name="Family_and_Friend_Name_5">'Financial Scorecard'!$B$46</definedName>
    <definedName name="Family_Friends_InitialAmount_Owed_1">'Financial Scorecard'!$C$42</definedName>
    <definedName name="Family_Friends_InitialAmount_Owed_2">'Financial Scorecard'!$C$43</definedName>
    <definedName name="Family_Friends_InitialAmount_Owed_3">'Financial Scorecard'!$C$44</definedName>
    <definedName name="Family_Friends_InitialAmount_Owed_4">'Financial Scorecard'!$C$45</definedName>
    <definedName name="Family_Friends_InitialAmount_Owed_5">'Financial Scorecard'!$C$46</definedName>
    <definedName name="Financial_ScoreCard_Apr">'Apr '!$U$64</definedName>
    <definedName name="Financial_ScoreCard_Aug">Aug!$U$64</definedName>
    <definedName name="Financial_ScoreCard_Dec">Dec!$U$64</definedName>
    <definedName name="Financial_ScoreCard_Feb">Feb!$U$64</definedName>
    <definedName name="Financial_ScoreCard_Jan" localSheetId="5">'Apr '!$U$64</definedName>
    <definedName name="Financial_ScoreCard_Jan" localSheetId="9">Aug!$U$64</definedName>
    <definedName name="Financial_ScoreCard_Jan" localSheetId="13">Dec!$U$64</definedName>
    <definedName name="Financial_ScoreCard_Jan">Jan!$U$64</definedName>
    <definedName name="Financial_ScoreCard_Jul">Jul!$U$64</definedName>
    <definedName name="Financial_ScoreCard_Jun">Jun!$U$64</definedName>
    <definedName name="Financial_ScoreCard_Mar">Mar!$U$64</definedName>
    <definedName name="Financial_ScoreCard_May">May!$U$64</definedName>
    <definedName name="Financial_ScoreCard_Nov">Nov!$U$64</definedName>
    <definedName name="Financial_ScoreCard_Oct">Oct!$U$64</definedName>
    <definedName name="Financial_ScoreCard_Sep">Sep!$U$64</definedName>
    <definedName name="Financial_ScoreCard_YEARLY">YEARLY!$U$64</definedName>
    <definedName name="FinScor_Apr_Formal">'Financial Scorecard'!$K$23:$K$30</definedName>
    <definedName name="FinScor_Apr_Friends_family">'Financial Scorecard'!$K$42:$K$46</definedName>
    <definedName name="FinScor_Apr_Informal">'Financial Scorecard'!$K$34:$K$38</definedName>
    <definedName name="FinScor_Aug_Formal">'Financial Scorecard'!$O$23:$O$30</definedName>
    <definedName name="FinScor_Aug_Friends_family">'Financial Scorecard'!$O$42:$O$46</definedName>
    <definedName name="FinScor_Aug_Informal">'Financial Scorecard'!$O$34:$O$38</definedName>
    <definedName name="FinScor_Dec_Formal">'Financial Scorecard'!$S$23:$S$30</definedName>
    <definedName name="FinScor_Dec_Friends_family">'Financial Scorecard'!$S$42:$S$46</definedName>
    <definedName name="FinScor_Dec_Informal">'Financial Scorecard'!$S$34:$S$38</definedName>
    <definedName name="FinScor_Feb_Formal">'Financial Scorecard'!$I$23:$I$30</definedName>
    <definedName name="FinScor_Feb_Friends_family">'Financial Scorecard'!$I$42:$I$46</definedName>
    <definedName name="FinScor_Feb_Informal">'Financial Scorecard'!$I$34:$I$38</definedName>
    <definedName name="FinScor_Jan_formal">'Financial Scorecard'!$H$23:$H$30</definedName>
    <definedName name="FinScor_Jan_Friends_family">'Financial Scorecard'!$H$42:$H$46</definedName>
    <definedName name="FinScor_Jan_Informal">'Financial Scorecard'!$H$34:$H$38</definedName>
    <definedName name="FinScor_Jul_formal">'Financial Scorecard'!$N$23:$N$30</definedName>
    <definedName name="FinScor_Jul_Friends_family">'Financial Scorecard'!$N$42:$N$46</definedName>
    <definedName name="FinScor_Jul_Informal">'Financial Scorecard'!$N$34:$N$38</definedName>
    <definedName name="FinScor_Jun_Formal">'Financial Scorecard'!$M$23:$M$30</definedName>
    <definedName name="FinScor_Jun_Friends_family">'Financial Scorecard'!$M$42:$M$46</definedName>
    <definedName name="FinScor_Jun_Informal">'Financial Scorecard'!$M$34:$M$38</definedName>
    <definedName name="FinScor_Mar_Formal">'Financial Scorecard'!$J$23:$J$30</definedName>
    <definedName name="FinScor_Mar_Friends_family">'Financial Scorecard'!$J$42:$J$46</definedName>
    <definedName name="FinScor_Mar_Informal">'Financial Scorecard'!$J$34:$J$38</definedName>
    <definedName name="FinScor_May_Formal">'Financial Scorecard'!$L$23:$L$30</definedName>
    <definedName name="FinScor_May_Friends_family">'Financial Scorecard'!$L$42:$L$46</definedName>
    <definedName name="FinScor_May_Informal">'Financial Scorecard'!$L$34:$L$38</definedName>
    <definedName name="FinScor_Nov_Formal">'Financial Scorecard'!$R$23:$R$30</definedName>
    <definedName name="FinScor_Nov_Friends_family">'Financial Scorecard'!$R$42:$R$46</definedName>
    <definedName name="FinScor_Nov_Informal">'Financial Scorecard'!$R$34:$R$38</definedName>
    <definedName name="FinScor_Oct_Formal">'Financial Scorecard'!$Q$23:$Q$30</definedName>
    <definedName name="FinScor_Oct_Friends_family">'Financial Scorecard'!$Q$42:$Q$46</definedName>
    <definedName name="FinScor_Oct_Informal">'Financial Scorecard'!$Q$34:$Q$38</definedName>
    <definedName name="FinScor_Sep_formal">'Financial Scorecard'!$P$23:$P$30</definedName>
    <definedName name="FinScor_Sep_Friends_family">'Financial Scorecard'!$P$42:$P$46</definedName>
    <definedName name="FinScor_Sep_Informal">'Financial Scorecard'!$P$34:$P$38</definedName>
    <definedName name="Formal__Annual_Interest_1">'Financial Scorecard'!$E$23</definedName>
    <definedName name="Formal__Annual_Interest_2">'Financial Scorecard'!$E$24</definedName>
    <definedName name="Formal__Annual_Interest_3">'Financial Scorecard'!$E$25</definedName>
    <definedName name="Formal__Annual_Interest_4">'Financial Scorecard'!$E$26</definedName>
    <definedName name="Formal__Annual_Interest_5">'Financial Scorecard'!$E$27</definedName>
    <definedName name="Formal__Annual_Interest_6">'Financial Scorecard'!$E$28</definedName>
    <definedName name="Formal__Annual_Interest_7">'Financial Scorecard'!$E$29</definedName>
    <definedName name="Formal__Annual_Interest_8">'Financial Scorecard'!$E$30</definedName>
    <definedName name="Formal_1_payment">'Financial Scorecard'!$H$23:$S$23</definedName>
    <definedName name="Formal_2_Payment">'Financial Scorecard'!$H$24:$S$24</definedName>
    <definedName name="Formal_3_Paument">'Financial Scorecard'!$H$25:$S$25</definedName>
    <definedName name="Formal_4_Payment">'Financial Scorecard'!$H$26:$S$26</definedName>
    <definedName name="Formal_5_payment">'Financial Scorecard'!$H$27:$S$27</definedName>
    <definedName name="Formal_6_Payment">'Financial Scorecard'!$H$28:$S$28</definedName>
    <definedName name="Formal_7_Paymant">'Financial Scorecard'!$H$29:$S$29</definedName>
    <definedName name="Formal_8_Payment">'Financial Scorecard'!$H$30:$S$30</definedName>
    <definedName name="Formal_Annaul_Payment_1">'Financial Scorecard'!$U$23</definedName>
    <definedName name="Formal_Annaul_Payment_2">'Financial Scorecard'!$U$24</definedName>
    <definedName name="Formal_Annaul_Payment_3">'Financial Scorecard'!$U$25</definedName>
    <definedName name="Formal_Annaul_Payment_4">'Financial Scorecard'!$U$26</definedName>
    <definedName name="Formal_Annaul_Payment_5">'Financial Scorecard'!$U$27</definedName>
    <definedName name="Formal_Annaul_Payment_6">'Financial Scorecard'!$U$28</definedName>
    <definedName name="Formal_Annaul_Payment_7">'Financial Scorecard'!$U$29</definedName>
    <definedName name="Formal_Annaul_Payment_8">'Financial Scorecard'!$U$30</definedName>
    <definedName name="Formal_Annual_Payment">'Financial Scorecard'!$U$31</definedName>
    <definedName name="Formal_Apr_SubTotal">'Financial Scorecard'!$K$31</definedName>
    <definedName name="Formal_Aug_SubTotal">'Financial Scorecard'!$O$31</definedName>
    <definedName name="Formal_Balance">'Financial Scorecard'!$Y$26</definedName>
    <definedName name="Formal_Balance_Feb">'Financial Scorecard'!$Y$26</definedName>
    <definedName name="Formal_Dec_SubTotal">'Financial Scorecard'!$S$31</definedName>
    <definedName name="Formal_Feb_SubTotal">'Financial Scorecard'!$I$31</definedName>
    <definedName name="Formal_IAO">'Financial Scorecard'!$C$31</definedName>
    <definedName name="Formal_InitialAmount_Owed_1">'Financial Scorecard'!$C$23</definedName>
    <definedName name="Formal_InitialAmount_Owed_2">'Financial Scorecard'!$C$24</definedName>
    <definedName name="Formal_InitialAmount_Owed_3">'Financial Scorecard'!$C$25</definedName>
    <definedName name="Formal_InitialAmount_Owed_4">'Financial Scorecard'!$C$26</definedName>
    <definedName name="Formal_InitialAmount_Owed_5">'Financial Scorecard'!$C$27</definedName>
    <definedName name="Formal_InitialAmount_Owed_6">'Financial Scorecard'!$C$28</definedName>
    <definedName name="Formal_InitialAmount_Owed_7">'Financial Scorecard'!$C$29</definedName>
    <definedName name="Formal_InitialAmount_Owed_8">'Financial Scorecard'!$C$30</definedName>
    <definedName name="Formal_Interest">'Financial Scorecard'!$D$23:$D$30</definedName>
    <definedName name="Formal_Interest_1">'Financial Scorecard'!$D$23</definedName>
    <definedName name="Formal_Interest_2">'Financial Scorecard'!$D$24</definedName>
    <definedName name="Formal_Interest_3">'Financial Scorecard'!$D$25</definedName>
    <definedName name="Formal_Interest_4">'Financial Scorecard'!$D$26</definedName>
    <definedName name="Formal_Interest_5">'Financial Scorecard'!$D$27</definedName>
    <definedName name="Formal_Interest_6">'Financial Scorecard'!$D$28</definedName>
    <definedName name="Formal_Interest_7">'Financial Scorecard'!$D$29</definedName>
    <definedName name="Formal_Interest_8">'Financial Scorecard'!$D$30</definedName>
    <definedName name="Formal_Jan_SubTotal">'Financial Scorecard'!$H$31</definedName>
    <definedName name="Formal_Jul_SubTotal">'Financial Scorecard'!$N$31</definedName>
    <definedName name="Formal_Jun_SubTotal">'Financial Scorecard'!$M$31</definedName>
    <definedName name="Formal_Mar_SubTotal">'Financial Scorecard'!$J$31</definedName>
    <definedName name="Formal_May_SubTotal">'Financial Scorecard'!$L$31</definedName>
    <definedName name="Formal_MI">'Financial Scorecard'!$G$31</definedName>
    <definedName name="Formal_Minimum_Installment_1">'Financial Scorecard'!$G$23</definedName>
    <definedName name="Formal_Minimum_Installment_2">'Financial Scorecard'!$G$24</definedName>
    <definedName name="Formal_Minimum_Installment_3">'Financial Scorecard'!$G$25</definedName>
    <definedName name="Formal_Minimum_Installment_4">'Financial Scorecard'!$G$26</definedName>
    <definedName name="Formal_Minimum_Installment_5">'Financial Scorecard'!$G$27</definedName>
    <definedName name="Formal_Minimum_Installment_6">'Financial Scorecard'!$G$28</definedName>
    <definedName name="Formal_Minimum_Installment_7">'Financial Scorecard'!$G$29</definedName>
    <definedName name="Formal_Minimum_Installment_8">'Financial Scorecard'!$G$30</definedName>
    <definedName name="Formal_Minimum_Installments">'Financial Scorecard'!$G$23:$G$30</definedName>
    <definedName name="Formal_Name_1">'Financial Scorecard'!$B$23</definedName>
    <definedName name="Formal_Name_2">'Financial Scorecard'!$B$24</definedName>
    <definedName name="Formal_Name_3">'Financial Scorecard'!$B$25</definedName>
    <definedName name="Formal_Name_4">'Financial Scorecard'!$B$26</definedName>
    <definedName name="Formal_Name_5">'Financial Scorecard'!$B$27</definedName>
    <definedName name="Formal_Name_6">'Financial Scorecard'!$B$28</definedName>
    <definedName name="Formal_Name_7">'Financial Scorecard'!$B$29</definedName>
    <definedName name="Formal_Name_8">'Financial Scorecard'!$B$30</definedName>
    <definedName name="Formal_Nov_SubTotal">'Financial Scorecard'!$R$31</definedName>
    <definedName name="Formal_Oct_SubTotal">'Financial Scorecard'!$Q$31</definedName>
    <definedName name="formal_Payment_Term">'Financial Scorecard'!$F$23:$F$30</definedName>
    <definedName name="Formal_PaymentTerm_1">'Financial Scorecard'!$F$23</definedName>
    <definedName name="Formal_PaymentTerm_2">'Financial Scorecard'!$F$24</definedName>
    <definedName name="Formal_PaymentTerm_3">'Financial Scorecard'!$F$25</definedName>
    <definedName name="Formal_PaymentTerm_4">'Financial Scorecard'!$F$26</definedName>
    <definedName name="Formal_PaymentTerm_5">'Financial Scorecard'!$F$27</definedName>
    <definedName name="Formal_PaymentTerm_6">'Financial Scorecard'!$F$28</definedName>
    <definedName name="Formal_PaymentTerm_7">'Financial Scorecard'!$F$29</definedName>
    <definedName name="Formal_PaymentTerm_8">'Financial Scorecard'!$F$30</definedName>
    <definedName name="Formal_perc_To_Goal_1">'Financial Scorecard'!$T$23</definedName>
    <definedName name="Formal_perc_To_Goal_2">'Financial Scorecard'!$T$24</definedName>
    <definedName name="Formal_perc_To_Goal_3">'Financial Scorecard'!$T$25</definedName>
    <definedName name="Formal_perc_To_Goal_4">'Financial Scorecard'!$T$26</definedName>
    <definedName name="Formal_perc_To_Goal_5">'Financial Scorecard'!$T$27</definedName>
    <definedName name="Formal_perc_To_Goal_6">'Financial Scorecard'!$T$28</definedName>
    <definedName name="Formal_perc_To_Goal_7">'Financial Scorecard'!$T$29</definedName>
    <definedName name="Formal_perc_To_Goal_8">'Financial Scorecard'!$T$30</definedName>
    <definedName name="Formal_Retail_MonthlySavings_Apr_1">'Financial Scorecard'!$K$23</definedName>
    <definedName name="Formal_Retail_MonthlySavings_Apr_2">'Financial Scorecard'!$K$24</definedName>
    <definedName name="Formal_Retail_MonthlySavings_Apr_3">'Financial Scorecard'!$K$25</definedName>
    <definedName name="Formal_Retail_MonthlySavings_Apr_4">'Financial Scorecard'!$K$26</definedName>
    <definedName name="Formal_Retail_MonthlySavings_Apr_5">'Financial Scorecard'!$K$27</definedName>
    <definedName name="Formal_Retail_MonthlySavings_Apr_6">'Financial Scorecard'!$K$28</definedName>
    <definedName name="Formal_Retail_MonthlySavings_Apr_7">'Financial Scorecard'!$K$29</definedName>
    <definedName name="Formal_Retail_MonthlySavings_Apr_8">'Financial Scorecard'!$K$30</definedName>
    <definedName name="Formal_Retail_MonthlySavings_Aug_1">'Financial Scorecard'!$O$23</definedName>
    <definedName name="Formal_Retail_MonthlySavings_Aug_2">'Financial Scorecard'!$O$24</definedName>
    <definedName name="Formal_Retail_MonthlySavings_Aug_3">'Financial Scorecard'!$O$25</definedName>
    <definedName name="Formal_Retail_MonthlySavings_Aug_4">'Financial Scorecard'!$O$26</definedName>
    <definedName name="Formal_Retail_MonthlySavings_Aug_5">'Financial Scorecard'!$O$27</definedName>
    <definedName name="Formal_Retail_MonthlySavings_Aug_6">'Financial Scorecard'!$O$28</definedName>
    <definedName name="Formal_Retail_MonthlySavings_Aug_7">'Financial Scorecard'!$O$29</definedName>
    <definedName name="Formal_Retail_MonthlySavings_Aug_8">'Financial Scorecard'!$O$30</definedName>
    <definedName name="Formal_Retail_MonthlySavings_Dec_1">'Financial Scorecard'!$S$23</definedName>
    <definedName name="Formal_Retail_MonthlySavings_Dec_2">'Financial Scorecard'!$S$24</definedName>
    <definedName name="Formal_Retail_MonthlySavings_Dec_3">'Financial Scorecard'!$S$25</definedName>
    <definedName name="Formal_Retail_MonthlySavings_Dec_4">'Financial Scorecard'!$S$26</definedName>
    <definedName name="Formal_Retail_MonthlySavings_Dec_5">'Financial Scorecard'!$S$27</definedName>
    <definedName name="Formal_Retail_MonthlySavings_Dec_6">'Financial Scorecard'!$S$28</definedName>
    <definedName name="Formal_Retail_MonthlySavings_Dec_7">'Financial Scorecard'!$S$29</definedName>
    <definedName name="Formal_Retail_MonthlySavings_Dec_8">'Financial Scorecard'!$S$30</definedName>
    <definedName name="Formal_Retail_MonthlySavings_Feb_1">'Financial Scorecard'!$I$23</definedName>
    <definedName name="Formal_Retail_MonthlySavings_Feb_2">'Financial Scorecard'!$I$24</definedName>
    <definedName name="Formal_Retail_MonthlySavings_Feb_3">'Financial Scorecard'!$I$25</definedName>
    <definedName name="Formal_Retail_MonthlySavings_Feb_4">'Financial Scorecard'!$I$26</definedName>
    <definedName name="Formal_Retail_MonthlySavings_Feb_5">'Financial Scorecard'!$I$27</definedName>
    <definedName name="Formal_Retail_MonthlySavings_Feb_6">'Financial Scorecard'!$I$28</definedName>
    <definedName name="Formal_Retail_MonthlySavings_Feb_7">'Financial Scorecard'!$I$29</definedName>
    <definedName name="Formal_Retail_MonthlySavings_Feb_8">'Financial Scorecard'!$I$30</definedName>
    <definedName name="Formal_Retail_MonthlySavings_Jan_1">'Financial Scorecard'!$H$23</definedName>
    <definedName name="Formal_Retail_MonthlySavings_Jan_2">'Financial Scorecard'!$H$24</definedName>
    <definedName name="Formal_Retail_MonthlySavings_Jan_3">'Financial Scorecard'!$H$25</definedName>
    <definedName name="Formal_Retail_MonthlySavings_Jan_4">'Financial Scorecard'!$H$26</definedName>
    <definedName name="Formal_Retail_MonthlySavings_Jan_5">'Financial Scorecard'!$H$27</definedName>
    <definedName name="Formal_Retail_MonthlySavings_Jan_6">'Financial Scorecard'!$H$28</definedName>
    <definedName name="Formal_Retail_MonthlySavings_Jan_7">'Financial Scorecard'!$H$29</definedName>
    <definedName name="Formal_Retail_MonthlySavings_Jan_8">'Financial Scorecard'!$H$30</definedName>
    <definedName name="Formal_Retail_MonthlySavings_Jul_1">'Financial Scorecard'!$N$23</definedName>
    <definedName name="Formal_Retail_MonthlySavings_Jul_2">'Financial Scorecard'!$N$24</definedName>
    <definedName name="Formal_Retail_MonthlySavings_Jul_3">'Financial Scorecard'!$N$25</definedName>
    <definedName name="Formal_Retail_MonthlySavings_Jul_4">'Financial Scorecard'!$N$26</definedName>
    <definedName name="Formal_Retail_MonthlySavings_Jul_5">'Financial Scorecard'!$N$27</definedName>
    <definedName name="Formal_Retail_MonthlySavings_Jul_6">'Financial Scorecard'!$N$28</definedName>
    <definedName name="Formal_Retail_MonthlySavings_Jul_7">'Financial Scorecard'!$N$29</definedName>
    <definedName name="Formal_Retail_MonthlySavings_Jul_8">'Financial Scorecard'!$N$30</definedName>
    <definedName name="Formal_Retail_MonthlySavings_Jun_1">'Financial Scorecard'!$M$23</definedName>
    <definedName name="Formal_Retail_MonthlySavings_Jun_2">'Financial Scorecard'!$M$24</definedName>
    <definedName name="Formal_Retail_MonthlySavings_Jun_3">'Financial Scorecard'!$M$25</definedName>
    <definedName name="Formal_Retail_MonthlySavings_Jun_4">'Financial Scorecard'!$M$26</definedName>
    <definedName name="Formal_Retail_MonthlySavings_Jun_5">'Financial Scorecard'!$M$27</definedName>
    <definedName name="Formal_Retail_MonthlySavings_Jun_6">'Financial Scorecard'!$M$28</definedName>
    <definedName name="Formal_Retail_MonthlySavings_Jun_7">'Financial Scorecard'!$M$29</definedName>
    <definedName name="Formal_Retail_MonthlySavings_Jun_8">'Financial Scorecard'!$M$30</definedName>
    <definedName name="Formal_Retail_MonthlySavings_Mar_1">'Financial Scorecard'!$J$23</definedName>
    <definedName name="Formal_Retail_MonthlySavings_Mar_2">'Financial Scorecard'!$J$24</definedName>
    <definedName name="Formal_Retail_MonthlySavings_Mar_3">'Financial Scorecard'!$J$25</definedName>
    <definedName name="Formal_Retail_MonthlySavings_Mar_4">'Financial Scorecard'!$J$26</definedName>
    <definedName name="Formal_Retail_MonthlySavings_Mar_5">'Financial Scorecard'!$J$27</definedName>
    <definedName name="Formal_Retail_MonthlySavings_Mar_6">'Financial Scorecard'!$J$28</definedName>
    <definedName name="Formal_Retail_MonthlySavings_Mar_7">'Financial Scorecard'!$J$29</definedName>
    <definedName name="Formal_Retail_MonthlySavings_Mar_8">'Financial Scorecard'!$J$30</definedName>
    <definedName name="Formal_Retail_MonthlySavings_May_1">'Financial Scorecard'!$L$23</definedName>
    <definedName name="Formal_Retail_MonthlySavings_May_2">'Financial Scorecard'!$L$24</definedName>
    <definedName name="Formal_Retail_MonthlySavings_May_3">'Financial Scorecard'!$L$25</definedName>
    <definedName name="Formal_Retail_MonthlySavings_May_4">'Financial Scorecard'!$L$26</definedName>
    <definedName name="Formal_Retail_MonthlySavings_May_5">'Financial Scorecard'!$L$27</definedName>
    <definedName name="Formal_Retail_MonthlySavings_May_6">'Financial Scorecard'!$L$28</definedName>
    <definedName name="Formal_Retail_MonthlySavings_May_7">'Financial Scorecard'!$L$29</definedName>
    <definedName name="Formal_Retail_MonthlySavings_May_8">'Financial Scorecard'!$L$30</definedName>
    <definedName name="Formal_Retail_MonthlySavings_Nov_1">'Financial Scorecard'!$R$23</definedName>
    <definedName name="Formal_Retail_MonthlySavings_Nov_2">'Financial Scorecard'!$R$24</definedName>
    <definedName name="Formal_Retail_MonthlySavings_Nov_3">'Financial Scorecard'!$R$25</definedName>
    <definedName name="Formal_Retail_MonthlySavings_Nov_4">'Financial Scorecard'!$R$26</definedName>
    <definedName name="Formal_Retail_MonthlySavings_Nov_5">'Financial Scorecard'!$R$27</definedName>
    <definedName name="Formal_Retail_MonthlySavings_Nov_6">'Financial Scorecard'!$R$28</definedName>
    <definedName name="Formal_Retail_MonthlySavings_Nov_7">'Financial Scorecard'!$R$29</definedName>
    <definedName name="Formal_Retail_MonthlySavings_Nov_8">'Financial Scorecard'!$R$30</definedName>
    <definedName name="Formal_Retail_MonthlySavings_Oct_1">'Financial Scorecard'!$Q$23</definedName>
    <definedName name="Formal_Retail_MonthlySavings_Oct_2">'Financial Scorecard'!$Q$24</definedName>
    <definedName name="Formal_Retail_MonthlySavings_Oct_3">'Financial Scorecard'!$Q$25</definedName>
    <definedName name="Formal_Retail_MonthlySavings_Oct_4">'Financial Scorecard'!$Q$26</definedName>
    <definedName name="Formal_Retail_MonthlySavings_Oct_5">'Financial Scorecard'!$Q$27</definedName>
    <definedName name="Formal_Retail_MonthlySavings_Oct_6">'Financial Scorecard'!$Q$28</definedName>
    <definedName name="Formal_Retail_MonthlySavings_Oct_7">'Financial Scorecard'!$Q$29</definedName>
    <definedName name="Formal_Retail_MonthlySavings_Oct_8">'Financial Scorecard'!$Q$30</definedName>
    <definedName name="Formal_Retail_MonthlySavings_Sep_1">'Financial Scorecard'!$P$23</definedName>
    <definedName name="Formal_Retail_MonthlySavings_Sep_2">'Financial Scorecard'!$P$24</definedName>
    <definedName name="Formal_Retail_MonthlySavings_Sep_3">'Financial Scorecard'!$P$25</definedName>
    <definedName name="Formal_Retail_MonthlySavings_Sep_4">'Financial Scorecard'!$P$26</definedName>
    <definedName name="Formal_Retail_MonthlySavings_Sep_5">'Financial Scorecard'!$P$27</definedName>
    <definedName name="Formal_Retail_MonthlySavings_Sep_6">'Financial Scorecard'!$P$28</definedName>
    <definedName name="Formal_Retail_MonthlySavings_Sep_7">'Financial Scorecard'!$P$29</definedName>
    <definedName name="Formal_Retail_MonthlySavings_Sep_8">'Financial Scorecard'!$P$30</definedName>
    <definedName name="Formal_Sep_SubTotal">'Financial Scorecard'!$P$31</definedName>
    <definedName name="Formal_SubTotals">'Financial Scorecard'!$H$31:$S$31</definedName>
    <definedName name="Formal_TAP">'Financial Scorecard'!$X$31</definedName>
    <definedName name="Formal_TAP_1">'Financial Scorecard'!$X$23</definedName>
    <definedName name="Formal_TAP_2">'Financial Scorecard'!$X$24</definedName>
    <definedName name="Formal_TAP_3">'Financial Scorecard'!$X$25</definedName>
    <definedName name="Formal_TAP_4">'Financial Scorecard'!$X$26</definedName>
    <definedName name="Formal_TAP_5">'Financial Scorecard'!$X$27</definedName>
    <definedName name="Formal_TAP_6">'Financial Scorecard'!$X$28</definedName>
    <definedName name="Formal_TAP_7">'Financial Scorecard'!$X$29</definedName>
    <definedName name="Formal_TAP_8">'Financial Scorecard'!$X$30</definedName>
    <definedName name="Formal_TATBP_1">'Financial Scorecard'!$V$23</definedName>
    <definedName name="Formal_TATBP_2">'Financial Scorecard'!$V$24</definedName>
    <definedName name="Formal_TATBP_3">'Financial Scorecard'!$V$25</definedName>
    <definedName name="Formal_TATBP_4">'Financial Scorecard'!$V$26</definedName>
    <definedName name="Formal_TATBP_5">'Financial Scorecard'!$V$27</definedName>
    <definedName name="Formal_TATBP_6">'Financial Scorecard'!$V$28</definedName>
    <definedName name="Formal_TATBP_7">'Financial Scorecard'!$V$29</definedName>
    <definedName name="Formal_TATBP_8">'Financial Scorecard'!$V$30</definedName>
    <definedName name="Formal_TCC">'Financial Scorecard'!$W$31</definedName>
    <definedName name="Formal_TCC_1">'Financial Scorecard'!$W$23</definedName>
    <definedName name="Formal_TCC_2">'Financial Scorecard'!$W$24</definedName>
    <definedName name="Formal_TCC_3">'Financial Scorecard'!$W$25</definedName>
    <definedName name="Formal_TCC_4">'Financial Scorecard'!$W$26</definedName>
    <definedName name="Formal_TCC_5">'Financial Scorecard'!$W$27</definedName>
    <definedName name="Formal_TCC_6">'Financial Scorecard'!$W$28</definedName>
    <definedName name="Formal_TCC_7">'Financial Scorecard'!$W$29</definedName>
    <definedName name="Formal_TCC_8">'Financial Scorecard'!$W$30</definedName>
    <definedName name="Formal_Total_perc_To_Goal">'Financial Scorecard'!$T$31</definedName>
    <definedName name="Formal_TotalAmount_To_be_paid">'Financial Scorecard'!$V$31</definedName>
    <definedName name="Friends_family_1_payment">'Financial Scorecard'!$H$42:$S$42</definedName>
    <definedName name="Friends_family_2_payment">'Financial Scorecard'!$H$43:$S$43</definedName>
    <definedName name="Friends_family_3_payment">'Financial Scorecard'!$H$44:$S$44</definedName>
    <definedName name="Friends_family_4_payment">'Financial Scorecard'!$H$45:$S$45</definedName>
    <definedName name="Friends_family_5_payment">'Financial Scorecard'!$H$46:$S$46</definedName>
    <definedName name="Friends_family_Annual_Payment">'Financial Scorecard'!$U$47</definedName>
    <definedName name="Friends_family_Annual_Payment_1">'Financial Scorecard'!$U$42</definedName>
    <definedName name="Friends_family_Annual_Payment_2">'Financial Scorecard'!$U$43</definedName>
    <definedName name="Friends_family_Annual_Payment_3">'Financial Scorecard'!$U$44</definedName>
    <definedName name="Friends_family_Annual_Payment_4">'Financial Scorecard'!$U$45</definedName>
    <definedName name="Friends_family_Annual_Payment_5">'Financial Scorecard'!$U$46</definedName>
    <definedName name="Friends_family_Apr_SubTotal">'Financial Scorecard'!$K$47</definedName>
    <definedName name="Friends_family_Aug_SubTotal">'Financial Scorecard'!$O$47</definedName>
    <definedName name="Friends_family_Balance">'Financial Scorecard'!$Y$45</definedName>
    <definedName name="Friends_family_Balance_Feb">'Financial Scorecard'!$Y$45</definedName>
    <definedName name="Friends_family_Dec_SubTotal">'Financial Scorecard'!$S$47</definedName>
    <definedName name="Friends_family_Feb_SubTotal">'Financial Scorecard'!$I$47</definedName>
    <definedName name="Friends_family_IAO">'Financial Scorecard'!$C$47</definedName>
    <definedName name="Friends_family_Interest">'Financial Scorecard'!$D$42:$D$46</definedName>
    <definedName name="Friends_family_Interest_1">'Financial Scorecard'!$D$42</definedName>
    <definedName name="Friends_family_Interest_2">'Financial Scorecard'!$D$43</definedName>
    <definedName name="Friends_family_Interest_3">'Financial Scorecard'!$D$44</definedName>
    <definedName name="Friends_family_Interest_4">'Financial Scorecard'!$D$45</definedName>
    <definedName name="Friends_family_Interest_5">'Financial Scorecard'!$D$46</definedName>
    <definedName name="Friends_family_Jan_SubTotal">'Financial Scorecard'!$H$47</definedName>
    <definedName name="Friends_family_Jul_SubTotal">'Financial Scorecard'!$N$47</definedName>
    <definedName name="Friends_family_Jun_SubTotal">'Financial Scorecard'!$M$47</definedName>
    <definedName name="Friends_family_Mar_SubTotal">'Financial Scorecard'!$J$47</definedName>
    <definedName name="Friends_family_May_SubTotal">'Financial Scorecard'!$L$47</definedName>
    <definedName name="Friends_family_MI">'Financial Scorecard'!$G$47</definedName>
    <definedName name="Friends_family_Minimum_Installment_1">'Financial Scorecard'!$G$42</definedName>
    <definedName name="Friends_family_Minimum_Installment_2">'Financial Scorecard'!$G$43</definedName>
    <definedName name="Friends_family_Minimum_Installment_3">'Financial Scorecard'!$G$44</definedName>
    <definedName name="Friends_family_Minimum_Installment_4">'Financial Scorecard'!$G$45</definedName>
    <definedName name="Friends_family_Minimum_Installment_5">'Financial Scorecard'!$G$46</definedName>
    <definedName name="Friends_family_Minimum_Installments">'Financial Scorecard'!$G$42:$G$46</definedName>
    <definedName name="Friends_family_Nov_SubTotal">'Financial Scorecard'!$R$47</definedName>
    <definedName name="Friends_family_Oct_SubTotal">'Financial Scorecard'!$Q$47</definedName>
    <definedName name="Friends_Family_Payment_Terms">'Financial Scorecard'!$F$42:$F$46</definedName>
    <definedName name="Friends_family_PaymentTerm_1">'Financial Scorecard'!$F$42</definedName>
    <definedName name="Friends_family_PaymentTerm_2">'Financial Scorecard'!$F$43</definedName>
    <definedName name="Friends_family_PaymentTerm_3">'Financial Scorecard'!$F$44</definedName>
    <definedName name="Friends_family_PaymentTerm_4">'Financial Scorecard'!$F$45</definedName>
    <definedName name="Friends_family_PaymentTerm_5">'Financial Scorecard'!$F$46</definedName>
    <definedName name="Friends_family_perc_To_Goal_1">'Financial Scorecard'!$T$42</definedName>
    <definedName name="Friends_family_perc_To_Goal_2">'Financial Scorecard'!$T$43</definedName>
    <definedName name="Friends_family_perc_To_Goal_3">'Financial Scorecard'!$T$44</definedName>
    <definedName name="Friends_family_perc_To_Goal_4">'Financial Scorecard'!$T$45</definedName>
    <definedName name="Friends_family_perc_To_Goal_5">'Financial Scorecard'!$T$46</definedName>
    <definedName name="Friends_family_Sep_SubTotal">'Financial Scorecard'!$P$47</definedName>
    <definedName name="Friends_family_SubTotals">'Financial Scorecard'!$H$47:$S$47</definedName>
    <definedName name="Friends_family_TAP">'Financial Scorecard'!$X$47</definedName>
    <definedName name="Friends_family_TAP_1">'Financial Scorecard'!$X$42</definedName>
    <definedName name="Friends_family_TAP_2">'Financial Scorecard'!$X$43</definedName>
    <definedName name="Friends_family_TAP_3">'Financial Scorecard'!$X$44</definedName>
    <definedName name="Friends_family_TAP_4">'Financial Scorecard'!$X$45</definedName>
    <definedName name="Friends_family_TAP_5">'Financial Scorecard'!$X$46</definedName>
    <definedName name="Friends_family_TATBP_1">'Financial Scorecard'!$V$42</definedName>
    <definedName name="Friends_family_TATBP_2">'Financial Scorecard'!$V$43</definedName>
    <definedName name="Friends_family_TATBP_3">'Financial Scorecard'!$V$44</definedName>
    <definedName name="Friends_family_TATBP_4">'Financial Scorecard'!$V$45</definedName>
    <definedName name="Friends_family_TATBP_5">'Financial Scorecard'!$V$46</definedName>
    <definedName name="Friends_family_TCC">'Financial Scorecard'!$W$47</definedName>
    <definedName name="Friends_family_TCC_1">'Financial Scorecard'!$W$42</definedName>
    <definedName name="Friends_family_TCC_2">'Financial Scorecard'!$W$43</definedName>
    <definedName name="Friends_family_TCC_3">'Financial Scorecard'!$W$44</definedName>
    <definedName name="Friends_family_TCC_4">'Financial Scorecard'!$W$45</definedName>
    <definedName name="Friends_family_TCC_5">'Financial Scorecard'!$W$46</definedName>
    <definedName name="Friends_family_Total_perc_To_Goal">'Financial Scorecard'!$T$47</definedName>
    <definedName name="Friends_family_TotalAmount_To_be_paid">'Financial Scorecard'!$V$47</definedName>
    <definedName name="FriendsFamily__Annual_Interest_1">'Financial Scorecard'!$E$42</definedName>
    <definedName name="FriendsFamily__Annual_Interest_2">'Financial Scorecard'!$E$43</definedName>
    <definedName name="FriendsFamily__Annual_Interest_3">'Financial Scorecard'!$E$44</definedName>
    <definedName name="FriendsFamily__Annual_Interest_4">'Financial Scorecard'!$E$45</definedName>
    <definedName name="FriendsFamily__Annual_Interest_5">'Financial Scorecard'!$E$46</definedName>
    <definedName name="Goal_Amount_Total">'Savings and Investments'!$C$23:$C$26</definedName>
    <definedName name="Goal_AnnualInterest">'Savings and Investments'!$G$23:$G$26</definedName>
    <definedName name="Goal_GA">'Savings and Investments'!$C$27</definedName>
    <definedName name="Goal_toPercentage">'Savings and Investments'!$T$23:$T$26</definedName>
    <definedName name="Goal1_Annual_Savings">YEARLY!$N$43</definedName>
    <definedName name="Goal2_Annual_Savings">YEARLY!$N$44</definedName>
    <definedName name="Goal3_Annual_Savings">YEARLY!$N$45</definedName>
    <definedName name="Goal4_Annual_Savings">YEARLY!$N$46</definedName>
    <definedName name="Goals_1_Monthly_Savings">'Savings and Investments'!$H$23:$S$23</definedName>
    <definedName name="Goals_1_Savings">'Savings and Investments'!$I$23:$S$23</definedName>
    <definedName name="Goals_2_Monthly_Savings">'Savings and Investments'!$H$24:$S$24</definedName>
    <definedName name="Goals_3_Monthly_Savings">'Savings and Investments'!$H$25:$S$25</definedName>
    <definedName name="Goals_4_Monthly_Savings">'Savings and Investments'!$H$26:$S$26</definedName>
    <definedName name="Goals_Actual_Apr">'Apr '!$N$43:$N$46</definedName>
    <definedName name="Goals_Actual_Aug">Aug!$N$43:$N$46</definedName>
    <definedName name="Goals_Actual_Dec">Dec!$N$43:$N$46</definedName>
    <definedName name="Goals_Actual_Feb">Feb!$N$43:$N$46</definedName>
    <definedName name="Goals_Actual_Jan">Jan!$N$43:$N$46</definedName>
    <definedName name="Goals_Actual_Jul">Jul!$N$43:$N$46</definedName>
    <definedName name="Goals_Actual_Jun">Jun!$N$43:$N$46</definedName>
    <definedName name="Goals_Actual_Mar">Mar!$N$43:$N$46</definedName>
    <definedName name="Goals_Actual_May">May!$N$43:$N$46</definedName>
    <definedName name="Goals_Actual_Nov">Nov!$N$43:$N$46</definedName>
    <definedName name="Goals_Actual_Oct">Oct!$N$43:$N$46</definedName>
    <definedName name="Goals_Actual_Sep">Sep!$N$43:$N$46</definedName>
    <definedName name="Goals_Actual_YEARLY">YEARLY!$N$43:$N$46</definedName>
    <definedName name="Goals_AnnualSavings">'Savings and Investments'!$U$23:$U$26</definedName>
    <definedName name="Goals_Apr_SubTotal">'Savings and Investments'!$K$27</definedName>
    <definedName name="Goals_AprSavings">'Savings and Investments'!$K$23:$K$26</definedName>
    <definedName name="Goals_Aug_SubTotal">'Savings and Investments'!$O$27</definedName>
    <definedName name="Goals_AugSavings">'Savings and Investments'!$O$23:$O$26</definedName>
    <definedName name="Goals_Dec_SubTotal">'Savings and Investments'!$S$27</definedName>
    <definedName name="Goals_DecSavings">'Savings and Investments'!$S$23:$S$26</definedName>
    <definedName name="Goals_Feb_Dashboard" localSheetId="5">#REF!</definedName>
    <definedName name="Goals_Feb_Dashboard" localSheetId="9">#REF!</definedName>
    <definedName name="Goals_Feb_Dashboard" localSheetId="13">#REF!</definedName>
    <definedName name="Goals_Feb_Dashboard" localSheetId="3">#REF!</definedName>
    <definedName name="Goals_Feb_Dashboard" localSheetId="0">#REF!</definedName>
    <definedName name="Goals_Feb_Dashboard" localSheetId="8">#REF!</definedName>
    <definedName name="Goals_Feb_Dashboard" localSheetId="7">#REF!</definedName>
    <definedName name="Goals_Feb_Dashboard" localSheetId="4">#REF!</definedName>
    <definedName name="Goals_Feb_Dashboard" localSheetId="6">#REF!</definedName>
    <definedName name="Goals_Feb_Dashboard" localSheetId="1">#REF!</definedName>
    <definedName name="Goals_Feb_Dashboard" localSheetId="12">#REF!</definedName>
    <definedName name="Goals_Feb_Dashboard" localSheetId="11">#REF!</definedName>
    <definedName name="Goals_Feb_Dashboard" localSheetId="10">#REF!</definedName>
    <definedName name="Goals_Feb_Dashboard" localSheetId="14">#REF!</definedName>
    <definedName name="Goals_Feb_Dashboard">#REF!</definedName>
    <definedName name="Goals_Feb_SubTotal">'Savings and Investments'!$I$27</definedName>
    <definedName name="Goals_FebSavings">'Savings and Investments'!$I$23:$I$26</definedName>
    <definedName name="Goals_Interest">'Savings and Investments'!$F$23:$F$26</definedName>
    <definedName name="Goals_Jan_Dashboard" localSheetId="5">'Apr '!$L$42:$O$42</definedName>
    <definedName name="Goals_Jan_Dashboard" localSheetId="9">Aug!$L$42:$O$42</definedName>
    <definedName name="Goals_Jan_Dashboard" localSheetId="13">Dec!$L$42:$O$42</definedName>
    <definedName name="Goals_Jan_Dashboard" localSheetId="3">Feb!$L$42:$O$42</definedName>
    <definedName name="Goals_Jan_Dashboard">Jan!$L$42:$O$42</definedName>
    <definedName name="Goals_Jan_SubTotal">'Savings and Investments'!$H$27</definedName>
    <definedName name="Goals_JanSavings">'Savings and Investments'!$H$23:$H$26</definedName>
    <definedName name="Goals_Jul_SubTotal">'Savings and Investments'!$N$27</definedName>
    <definedName name="Goals_JulSavings">'Savings and Investments'!$N$23:$N$26</definedName>
    <definedName name="Goals_Jun_SubTotal">'Savings and Investments'!$M$27</definedName>
    <definedName name="Goals_JunSavings">'Savings and Investments'!$M$23:$M$26</definedName>
    <definedName name="Goals_Mar_SubTotal">'Savings and Investments'!$J$27</definedName>
    <definedName name="Goals_MarSavings">'Savings and Investments'!$J$23:$J$26</definedName>
    <definedName name="Goals_May_SubTotal">'Savings and Investments'!$L$27</definedName>
    <definedName name="Goals_MaySavings">'Savings and Investments'!$L$23:$L$26</definedName>
    <definedName name="Goals_MinSavings">'Savings and Investments'!$E$23:$E$26</definedName>
    <definedName name="Goals_Nov_SubTotal">'Savings and Investments'!$R$27</definedName>
    <definedName name="Goals_NovSavings">'Savings and Investments'!$R$23:$R$26</definedName>
    <definedName name="Goals_Oct_SubTotal">'Savings and Investments'!$Q$27</definedName>
    <definedName name="Goals_OctSavings">'Savings and Investments'!$Q$23:$Q$26</definedName>
    <definedName name="Goals_SavingsInvestmentsTo_beMade">'Savings and Investments'!$V$33:$V$36</definedName>
    <definedName name="Goals_SavingsTo_beMade">'Savings and Investments'!$V$23:$V$26</definedName>
    <definedName name="Goals_SavingTerm">'Savings and Investments'!$D$23:$D$26</definedName>
    <definedName name="Goals_Sep_SubTotal">'Savings and Investments'!$P$27</definedName>
    <definedName name="Goals_SepSavings">'Savings and Investments'!$P$23:$P$26</definedName>
    <definedName name="Goals_ShortNames">'Savings and Investments'!$B$23:$B$26</definedName>
    <definedName name="Goals_SubTotals">'Savings and Investments'!$H$27:$S$27</definedName>
    <definedName name="Goals_Total_AnnualSavings">'Savings and Investments'!$U$27</definedName>
    <definedName name="Goals_Total_perc_To_Goal">'Savings and Investments'!$T$27</definedName>
    <definedName name="Goals_Total_Savings_To_Be_Made">'Savings and Investments'!$V$27</definedName>
    <definedName name="Goals_Total_ValueSavings">'Savings and Investments'!$W$23:$W$26</definedName>
    <definedName name="Income_Apr_Overall_Under_Over">'Apr '!$E$50</definedName>
    <definedName name="Income_Aug_Overall_Under_Over">Aug!$E$50</definedName>
    <definedName name="Income_Dec_Overall_Under_Over">Dec!$E$50</definedName>
    <definedName name="Income_Feb_Overall_Under_Over">Feb!$E$50</definedName>
    <definedName name="Income_Jan_Overall_Under_Over">Jan!$E$50</definedName>
    <definedName name="Income_Jul_Overall_Under_Over">Jul!$E$50</definedName>
    <definedName name="Income_Jun_Overall_Under_Over">Jun!$E$50</definedName>
    <definedName name="Income_Mar_Overall_Under_Over">Mar!$E$50</definedName>
    <definedName name="Income_May_Overall_Under_Over">May!$E$50</definedName>
    <definedName name="Income_Name_Apr">'Apr '!$B$42:$C$49</definedName>
    <definedName name="Income_Name_Aug">Aug!$B$42:$C$49</definedName>
    <definedName name="Income_Name_Feb" localSheetId="5">#REF!</definedName>
    <definedName name="Income_Name_Feb" localSheetId="9">#REF!</definedName>
    <definedName name="Income_Name_Feb" localSheetId="13">#REF!</definedName>
    <definedName name="Income_Name_Feb" localSheetId="3">Feb!$B$42:$C$49</definedName>
    <definedName name="Income_Name_Jan" localSheetId="5">'Apr '!$B$42:$C$49</definedName>
    <definedName name="Income_Name_Jan" localSheetId="9">Aug!$B$42:$C$49</definedName>
    <definedName name="Income_Name_Jan" localSheetId="13">Dec!$B$42:$C$49</definedName>
    <definedName name="Income_Name_Jan" localSheetId="3">Feb!$B$42:$C$49</definedName>
    <definedName name="Income_Name_Jan">Jan!$B$42:$C$49</definedName>
    <definedName name="Income_Name_Jul">Jul!$B$42:$C$49</definedName>
    <definedName name="Income_Name_Jun">Jun!$B$42:$C$49</definedName>
    <definedName name="Income_Name_Mar">Mar!$B$42:$C$49</definedName>
    <definedName name="Income_Name_May">May!$B$42:$C$49</definedName>
    <definedName name="Income_Name_Nov">Nov!$B$42:$C$49</definedName>
    <definedName name="Income_Name_Oct">Oct!$B$42:$C$49</definedName>
    <definedName name="Income_Name_Sep">Sep!$B$42:$C$49</definedName>
    <definedName name="Income_Name_YEARLY">YEARLY!$B$42:$C$49</definedName>
    <definedName name="Income_Nov_Overall_Under_Over">Nov!$E$50</definedName>
    <definedName name="Income_Oct_Overall_Under_Over">Oct!$E$50</definedName>
    <definedName name="Income_Perc_Feb">Feb!$Y$49</definedName>
    <definedName name="Income_Sep_Overall_Under_Over">Sep!$E$50</definedName>
    <definedName name="Income_YEARLY_Overall_Under_Over">YEARLY!$E$50</definedName>
    <definedName name="Income1_ActualApr">'Apr '!$D$42</definedName>
    <definedName name="Income1_ActualAug">Aug!$D$42</definedName>
    <definedName name="Income1_ActualDec">Dec!$D$42</definedName>
    <definedName name="Income1_ActualFeb">Feb!$D$42</definedName>
    <definedName name="Income1_ActualJan">Jan!$D$42</definedName>
    <definedName name="Income1_ActualJul">Jul!$D$42</definedName>
    <definedName name="Income1_ActualJun">Jun!$D$42</definedName>
    <definedName name="Income1_ActualMar">Mar!$D$42</definedName>
    <definedName name="Income1_ActualMay">May!$D$42</definedName>
    <definedName name="Income1_ActualNov">Nov!$D$42</definedName>
    <definedName name="Income1_ActualOct">Oct!$D$42</definedName>
    <definedName name="Income1_ActualSep">Sep!$D$42</definedName>
    <definedName name="Income1_BudgetApr">'Apr '!$C$42</definedName>
    <definedName name="Income1_BudgetAug">Aug!$C$42</definedName>
    <definedName name="Income1_BudgetDec">Dec!$C$42</definedName>
    <definedName name="Income1_BudgetFeb">Feb!$C$42</definedName>
    <definedName name="Income1_BudgetJan">Jan!$C$42</definedName>
    <definedName name="Income1_BudgetJul">Jul!$C$42</definedName>
    <definedName name="Income1_BudgetJun">Jun!$C$42</definedName>
    <definedName name="Income1_BudgetMar">Mar!$C$42</definedName>
    <definedName name="Income1_BudgetMay">May!$C$42</definedName>
    <definedName name="Income1_BudgetNov">Nov!$C$42</definedName>
    <definedName name="Income1_BudgetOct">Oct!$C$42</definedName>
    <definedName name="Income1_BudgetSep">Sep!$C$42</definedName>
    <definedName name="Income2_ActualApr">'Apr '!$D$43</definedName>
    <definedName name="Income2_ActualAug">Aug!$D$43</definedName>
    <definedName name="Income2_ActualDec">Dec!$D$43</definedName>
    <definedName name="Income2_ActualFeb">Feb!$D$43</definedName>
    <definedName name="Income2_ActualJan">Jan!$D$43</definedName>
    <definedName name="Income2_ActualJul">Jul!$D$43</definedName>
    <definedName name="Income2_ActualJun">Jun!$D$43</definedName>
    <definedName name="Income2_ActualMar">Mar!$D$43</definedName>
    <definedName name="Income2_ActualMay">May!$D$43</definedName>
    <definedName name="Income2_ActualNov">Nov!$D$43</definedName>
    <definedName name="Income2_ActualOct">Oct!$D$43</definedName>
    <definedName name="Income2_ActualSep">Sep!$D$43</definedName>
    <definedName name="Income2_BudgetApr">'Apr '!$C$43</definedName>
    <definedName name="Income2_BudgetAug">Aug!$C$43</definedName>
    <definedName name="Income2_BudgetDec">Dec!$C$43</definedName>
    <definedName name="Income2_BudgetFeb">Feb!$C$43</definedName>
    <definedName name="Income2_BudgetJan">Jan!$C$43</definedName>
    <definedName name="Income2_BudgetJul">Jul!$C$43</definedName>
    <definedName name="Income2_BudgetJun">Jun!$C$43</definedName>
    <definedName name="Income2_BudgetMar">Mar!$C$43</definedName>
    <definedName name="Income2_BudgetMay">May!$C$43</definedName>
    <definedName name="Income2_BudgetNov">Nov!$C$43</definedName>
    <definedName name="Income2_BudgetOct">Oct!$C$43</definedName>
    <definedName name="Income2_BudgetSep">Sep!$C$43</definedName>
    <definedName name="Income3_ActualApr">'Apr '!$D$44</definedName>
    <definedName name="Income3_ActualAug">Aug!$D$44</definedName>
    <definedName name="Income3_ActualDec">Dec!$D$44</definedName>
    <definedName name="Income3_ActualFeb">Feb!$D$44</definedName>
    <definedName name="Income3_ActualJan">Jan!$D$44</definedName>
    <definedName name="Income3_ActualJul">Jul!$D$44</definedName>
    <definedName name="Income3_ActualJun">Jun!$D$44</definedName>
    <definedName name="Income3_ActualMar">Mar!$D$44</definedName>
    <definedName name="Income3_ActualMay">May!$D$44</definedName>
    <definedName name="Income3_ActualNov">Nov!$D$44</definedName>
    <definedName name="Income3_ActualOct">Oct!$D$44</definedName>
    <definedName name="Income3_ActualSep">Sep!$D$44</definedName>
    <definedName name="Income3_BudgetApr">'Apr '!$C$44</definedName>
    <definedName name="Income3_BudgetAug">Aug!$C$44</definedName>
    <definedName name="Income3_BudgetDec">Dec!$C$44</definedName>
    <definedName name="Income3_BudgetFeb">Feb!$C$44</definedName>
    <definedName name="Income3_BudgetJan">Jan!$C$44</definedName>
    <definedName name="Income3_BudgetJul">Jul!$C$44</definedName>
    <definedName name="Income3_BudgetJun">Jun!$C$44</definedName>
    <definedName name="Income3_BudgetMar">Mar!$C$44</definedName>
    <definedName name="Income3_BudgetMay">May!$C$44</definedName>
    <definedName name="Income3_BudgetNov">Nov!$C$44</definedName>
    <definedName name="Income3_BudgetOct">Oct!$C$44</definedName>
    <definedName name="Income3_BudgetSep">Sep!$C$44</definedName>
    <definedName name="Income4_ActualApr">'Apr '!$D$45</definedName>
    <definedName name="Income4_ActualAug">Aug!$D$45</definedName>
    <definedName name="Income4_ActualDec">Dec!$D$45</definedName>
    <definedName name="Income4_ActualFeb">Feb!$D$45</definedName>
    <definedName name="Income4_ActualJan">Jan!$D$45</definedName>
    <definedName name="Income4_ActualJul">Jul!$D$45</definedName>
    <definedName name="Income4_ActualJun">Jun!$D$45</definedName>
    <definedName name="Income4_ActualMar">Mar!$D$45</definedName>
    <definedName name="Income4_ActualMay">May!$D$45</definedName>
    <definedName name="Income4_ActualNov">Nov!$D$45</definedName>
    <definedName name="Income4_ActualOct">Oct!$D$45</definedName>
    <definedName name="Income4_ActualSep">Sep!$D$45</definedName>
    <definedName name="Income4_BudgetApr">'Apr '!$C$45</definedName>
    <definedName name="Income4_BudgetAug">Aug!$C$45</definedName>
    <definedName name="Income4_BudgetDec">Dec!$C$45</definedName>
    <definedName name="Income4_BudgetFeb">Feb!$C$45</definedName>
    <definedName name="Income4_BudgetJan">Jan!$C$45</definedName>
    <definedName name="Income4_BudgetJul">Jul!$C$45</definedName>
    <definedName name="Income4_BudgetJun">Jun!$C$45</definedName>
    <definedName name="Income4_BudgetMar">Mar!$C$45</definedName>
    <definedName name="Income4_BudgetMay">May!$C$45</definedName>
    <definedName name="Income4_BudgetNov">Nov!$C$45</definedName>
    <definedName name="Income4_BudgetOct">Oct!$C$45</definedName>
    <definedName name="Income4_BudgetSep">Sep!$C$45</definedName>
    <definedName name="Income5_ActualApr">'Apr '!$D$46</definedName>
    <definedName name="Income5_ActualAug">Aug!$D$46</definedName>
    <definedName name="Income5_ActualDec">Dec!$D$46</definedName>
    <definedName name="Income5_ActualFeb">Feb!$D$46</definedName>
    <definedName name="Income5_ActualJan">Jan!$D$46</definedName>
    <definedName name="Income5_ActualJul">Jul!$D$46</definedName>
    <definedName name="Income5_ActualJun">Jun!$D$46</definedName>
    <definedName name="Income5_ActualMar">Mar!$D$46</definedName>
    <definedName name="Income5_ActualMay">May!$D$46</definedName>
    <definedName name="Income5_ActualNov">Nov!$D$46</definedName>
    <definedName name="Income5_ActualOct">Oct!$D$46</definedName>
    <definedName name="Income5_ActualSep">Sep!$D$46</definedName>
    <definedName name="Income5_BudgetApr">'Apr '!$C$46</definedName>
    <definedName name="Income5_BudgetAug">Aug!$C$46</definedName>
    <definedName name="Income5_BudgetDec">Dec!$C$46</definedName>
    <definedName name="Income5_BudgetFeb">Feb!$C$46</definedName>
    <definedName name="Income5_BudgetJan">Jan!$C$46</definedName>
    <definedName name="Income5_BudgetJul">Jul!$C$46</definedName>
    <definedName name="Income5_BudgetJun">Jun!$C$46</definedName>
    <definedName name="Income5_BudgetMar">Mar!$C$46</definedName>
    <definedName name="Income5_BudgetMay">May!$C$46</definedName>
    <definedName name="Income5_BudgetNov">Nov!$C$46</definedName>
    <definedName name="Income5_BudgetOct">Oct!$C$46</definedName>
    <definedName name="Income5_BudgetSep">Sep!$C$46</definedName>
    <definedName name="Income6_ActualApr">'Apr '!$D$47</definedName>
    <definedName name="Income6_ActualAug">Aug!$D$47</definedName>
    <definedName name="Income6_ActualDec">Dec!$D$47</definedName>
    <definedName name="Income6_ActualFeb">Feb!$D$47</definedName>
    <definedName name="Income6_ActualJan">Jan!$D$47</definedName>
    <definedName name="Income6_ActualJul">Jul!$D$47</definedName>
    <definedName name="Income6_ActualJun">Jun!$D$47</definedName>
    <definedName name="Income6_ActualMar">Mar!$D$47</definedName>
    <definedName name="Income6_ActualMay">May!$D$47</definedName>
    <definedName name="Income6_ActualNov">Nov!$D$47</definedName>
    <definedName name="Income6_ActualOct">Oct!$D$47</definedName>
    <definedName name="Income6_ActualSep">Sep!$D$47</definedName>
    <definedName name="Income6_BudgetApr">'Apr '!$C$47</definedName>
    <definedName name="Income6_BudgetAug">Aug!$C$47</definedName>
    <definedName name="Income6_BudgetDec">Dec!$C$47</definedName>
    <definedName name="Income6_BudgetFeb">Feb!$C$47</definedName>
    <definedName name="Income6_BudgetJan">Jan!$C$47</definedName>
    <definedName name="Income6_BudgetJul">Jul!$C$47</definedName>
    <definedName name="Income6_BudgetJun">Jun!$C$47</definedName>
    <definedName name="Income6_BudgetMar">Mar!$C$47</definedName>
    <definedName name="Income6_BudgetMay">May!$C$47</definedName>
    <definedName name="Income6_BudgetNov">Nov!$C$47</definedName>
    <definedName name="Income6_BudgetOct">Oct!$C$47</definedName>
    <definedName name="Income6_BudgetSep">Sep!$C$47</definedName>
    <definedName name="Income7_ActualApr">'Apr '!$D$48</definedName>
    <definedName name="Income7_ActualAug">Aug!$D$48</definedName>
    <definedName name="Income7_ActualDec">Dec!$D$48</definedName>
    <definedName name="Income7_ActualFeb">Feb!$D$48</definedName>
    <definedName name="Income7_ActualJan">Jan!$D$48</definedName>
    <definedName name="Income7_ActualJul">Jul!$D$48</definedName>
    <definedName name="Income7_ActualJun">Jun!$D$48</definedName>
    <definedName name="Income7_ActualMar">Mar!$D$48</definedName>
    <definedName name="Income7_ActualMay">May!$D$48</definedName>
    <definedName name="Income7_ActualNov">Nov!$D$48</definedName>
    <definedName name="Income7_ActualOct">Oct!$D$48</definedName>
    <definedName name="Income7_ActualSep">Sep!$D$48</definedName>
    <definedName name="Income7_BudgetApr">'Apr '!$C$48</definedName>
    <definedName name="Income7_BudgetAug">Aug!$C$48</definedName>
    <definedName name="Income7_BudgetDec">Dec!$C$48</definedName>
    <definedName name="Income7_BudgetFeb">Feb!$C$48</definedName>
    <definedName name="Income7_BudgetJan">Jan!$C$48</definedName>
    <definedName name="Income7_BudgetJul">Jul!$C$48</definedName>
    <definedName name="Income7_BudgetJun">Jun!$C$48</definedName>
    <definedName name="Income7_BudgetMar">Mar!$C$48</definedName>
    <definedName name="Income7_BudgetNov">Nov!$C$48</definedName>
    <definedName name="Income7_BudgetOct">Oct!$C$48</definedName>
    <definedName name="Income7_BudgetSep">Sep!$C$48</definedName>
    <definedName name="Income7BudgetMay">May!$C$48</definedName>
    <definedName name="Income8_ActualApr">'Apr '!$D$49</definedName>
    <definedName name="Income8_ActualAug">Aug!$D$49</definedName>
    <definedName name="Income8_ActualDec">Dec!$D$49</definedName>
    <definedName name="Income8_ActualFeb">Feb!$D$49</definedName>
    <definedName name="Income8_ActualJan">Jan!$D$49</definedName>
    <definedName name="Income8_ActualJul">Jul!$D$49</definedName>
    <definedName name="Income8_ActualJun">Jun!$D$49</definedName>
    <definedName name="Income8_ActualMar">Mar!$D$49</definedName>
    <definedName name="Income8_ActualMay">May!$D$49</definedName>
    <definedName name="Income8_ActualNov">Nov!$D$49</definedName>
    <definedName name="Income8_ActualOct">Oct!$D$49</definedName>
    <definedName name="Income8_ActualSep">Sep!$D$49</definedName>
    <definedName name="Income8_BudgetApr">'Apr '!$C$49</definedName>
    <definedName name="Income8_BudgetAug">Aug!$C$49</definedName>
    <definedName name="Income8_BudgetDec">Dec!$C$49</definedName>
    <definedName name="Income8_BudgetFeb">Feb!$C$49</definedName>
    <definedName name="Income8_BudgetJan">Jan!$C$49</definedName>
    <definedName name="Income8_BudgetJul">Jul!$C$49</definedName>
    <definedName name="Income8_BudgetJun">Jun!$C$49</definedName>
    <definedName name="Income8_BudgetMar">Mar!$C$49</definedName>
    <definedName name="Income8_BudgetMay">May!$C$49</definedName>
    <definedName name="Income8_BudgetNov">Nov!$C$49</definedName>
    <definedName name="Income8_BudgetOct">Oct!$C$49</definedName>
    <definedName name="Income8_BudgetSep">Sep!$C$49</definedName>
    <definedName name="Informal__Annual_Interest_1">'Financial Scorecard'!$E$34</definedName>
    <definedName name="Informal__Annual_Interest_2">'Financial Scorecard'!$E$35</definedName>
    <definedName name="Informal__Annual_Interest_3">'Financial Scorecard'!$E$36</definedName>
    <definedName name="Informal__Annual_Interest_4">'Financial Scorecard'!$E$37</definedName>
    <definedName name="Informal__Annual_Interest_5">'Financial Scorecard'!$E$38</definedName>
    <definedName name="Informal_1_payment">'Financial Scorecard'!$H$34:$S$34</definedName>
    <definedName name="Informal_2_payment">'Financial Scorecard'!$H$35:$S$35</definedName>
    <definedName name="Informal_3_payment">'Financial Scorecard'!$H$36:$S$36</definedName>
    <definedName name="Informal_4_payment">'Financial Scorecard'!$H$37:$S$37</definedName>
    <definedName name="Informal_5_payment">'Financial Scorecard'!$H$38:$S$38</definedName>
    <definedName name="Informal_Annual_Payment">'Financial Scorecard'!$U$39</definedName>
    <definedName name="Informal_Annual_Payment_1">'Financial Scorecard'!$U$34</definedName>
    <definedName name="Informal_Annual_Payment_2">'Financial Scorecard'!$U$35</definedName>
    <definedName name="Informal_Annual_Payment_3">'Financial Scorecard'!$U$36</definedName>
    <definedName name="Informal_Annual_Payment_4">'Financial Scorecard'!$U$37</definedName>
    <definedName name="Informal_Annual_Payment_5">'Financial Scorecard'!$U$38</definedName>
    <definedName name="Informal_Apr_SubTotal">'Financial Scorecard'!$K$39</definedName>
    <definedName name="Informal_Aug_SubTotal">'Financial Scorecard'!$O$39</definedName>
    <definedName name="Informal_Balance">'Financial Scorecard'!$Y$37</definedName>
    <definedName name="Informal_Balance_Feb">'Financial Scorecard'!$Y$37</definedName>
    <definedName name="Informal_Dec_SubTotal">'Financial Scorecard'!$S$39</definedName>
    <definedName name="Informal_Feb_SubTotal">'Financial Scorecard'!$I$39</definedName>
    <definedName name="Informal_IAO">'Financial Scorecard'!$C$39</definedName>
    <definedName name="Informal_InitialAmount_Owed_1">'Financial Scorecard'!$C$34</definedName>
    <definedName name="Informal_InitialAmount_Owed_2">'Financial Scorecard'!$C$35</definedName>
    <definedName name="Informal_InitialAmount_Owed_3">'Financial Scorecard'!$C$36</definedName>
    <definedName name="Informal_InitialAmount_Owed_4">'Financial Scorecard'!$C$37</definedName>
    <definedName name="Informal_InitialAmount_Owed_5">'Financial Scorecard'!$C$38</definedName>
    <definedName name="Informal_Interest">'Financial Scorecard'!$D$34:$D$38</definedName>
    <definedName name="Informal_Interest_1">'Financial Scorecard'!$D$34</definedName>
    <definedName name="Informal_Interest_2">'Financial Scorecard'!$D$35</definedName>
    <definedName name="Informal_Interest_3">'Financial Scorecard'!$D$36</definedName>
    <definedName name="Informal_Interest_4">'Financial Scorecard'!$D$37</definedName>
    <definedName name="Informal_Interest_5">'Financial Scorecard'!$D$38</definedName>
    <definedName name="Informal_Jan_SubTotal">'Financial Scorecard'!$H$39</definedName>
    <definedName name="Informal_Jul_SubTotal">'Financial Scorecard'!$N$39</definedName>
    <definedName name="Informal_Jun_SubTotal">'Financial Scorecard'!$M$39</definedName>
    <definedName name="Informal_Mar_SubTotal">'Financial Scorecard'!$J$39</definedName>
    <definedName name="Informal_May_SubTotal">'Financial Scorecard'!$L$39</definedName>
    <definedName name="Informal_MI">'Financial Scorecard'!$G$39</definedName>
    <definedName name="Informal_Minimum_Installment_1">'Financial Scorecard'!$G$34</definedName>
    <definedName name="Informal_Minimum_Installment_2">'Financial Scorecard'!$G$35</definedName>
    <definedName name="Informal_Minimum_Installment_3">'Financial Scorecard'!$G$36</definedName>
    <definedName name="Informal_Minimum_Installment_4">'Financial Scorecard'!$G$37</definedName>
    <definedName name="Informal_Minimum_Installment_5">'Financial Scorecard'!$G$38</definedName>
    <definedName name="Informal_Minimum_Installments">'Financial Scorecard'!$G$34:$G$38</definedName>
    <definedName name="Informal_MonthlySavings_Apr_1">'Financial Scorecard'!$K$34</definedName>
    <definedName name="Informal_MonthlySavings_Apr_2">'Financial Scorecard'!$K$35</definedName>
    <definedName name="Informal_MonthlySavings_Apr_3">'Financial Scorecard'!$K$36</definedName>
    <definedName name="Informal_MonthlySavings_Apr_4">'Financial Scorecard'!$K$37</definedName>
    <definedName name="Informal_MonthlySavings_Apr_5">'Financial Scorecard'!$K$38</definedName>
    <definedName name="Informal_MonthlySavings_Feb_1">'Financial Scorecard'!$I$34</definedName>
    <definedName name="Informal_MonthlySavings_Feb_2">'Financial Scorecard'!$I$35</definedName>
    <definedName name="Informal_MonthlySavings_Feb_3">'Financial Scorecard'!$I$36</definedName>
    <definedName name="Informal_MonthlySavings_Feb_4">'Financial Scorecard'!$I$37</definedName>
    <definedName name="Informal_MonthlySavings_Feb_5">'Financial Scorecard'!$I$38</definedName>
    <definedName name="Informal_MonthlySavings_Jan_1">'Financial Scorecard'!$H$34</definedName>
    <definedName name="Informal_MonthlySavings_Jan_2">'Financial Scorecard'!$H$35</definedName>
    <definedName name="Informal_MonthlySavings_Jan_3">'Financial Scorecard'!$H$36</definedName>
    <definedName name="Informal_MonthlySavings_Jan_4">'Financial Scorecard'!$H$37</definedName>
    <definedName name="Informal_MonthlySavings_Jan_5">'Financial Scorecard'!$H$38</definedName>
    <definedName name="Informal_MonthlySavings_Jun_1">'Financial Scorecard'!$M$34</definedName>
    <definedName name="Informal_MonthlySavings_Jun_2">'Financial Scorecard'!$M$35</definedName>
    <definedName name="Informal_MonthlySavings_Jun_3">'Financial Scorecard'!$M$36</definedName>
    <definedName name="Informal_MonthlySavings_Jun_4">'Financial Scorecard'!$M$37</definedName>
    <definedName name="Informal_MonthlySavings_Jun_5">'Financial Scorecard'!$M$38</definedName>
    <definedName name="Informal_MonthlySavings_Mar_1">'Financial Scorecard'!$J$34</definedName>
    <definedName name="Informal_MonthlySavings_Mar_2">'Financial Scorecard'!$J$35</definedName>
    <definedName name="Informal_MonthlySavings_Mar_3">'Financial Scorecard'!$J$36</definedName>
    <definedName name="Informal_MonthlySavings_Mar_4">'Financial Scorecard'!$J$37</definedName>
    <definedName name="Informal_MonthlySavings_Mar_5">'Financial Scorecard'!$J$38</definedName>
    <definedName name="Informal_MonthlySavings_May_1">'Financial Scorecard'!$L$34</definedName>
    <definedName name="Informal_MonthlySavings_May_2">'Financial Scorecard'!$L$35</definedName>
    <definedName name="Informal_MonthlySavings_May_3">'Financial Scorecard'!$L$36</definedName>
    <definedName name="Informal_MonthlySavings_May_4">'Financial Scorecard'!$L$37</definedName>
    <definedName name="Informal_MonthlySavings_May_5">'Financial Scorecard'!$L$38</definedName>
    <definedName name="Informal_Name_1">'Financial Scorecard'!$B$34</definedName>
    <definedName name="Informal_Name_2">'Financial Scorecard'!$B$35</definedName>
    <definedName name="Informal_Name_3">'Financial Scorecard'!$B$36</definedName>
    <definedName name="Informal_Name_4">'Financial Scorecard'!$B$37</definedName>
    <definedName name="Informal_Name_5">'Financial Scorecard'!$B$38</definedName>
    <definedName name="Informal_Nov_SubTotal">'Financial Scorecard'!$R$39</definedName>
    <definedName name="Informal_Oct_SubTotal">'Financial Scorecard'!$Q$39</definedName>
    <definedName name="Informal_Payment_Terms">'Financial Scorecard'!$F$34:$F$38</definedName>
    <definedName name="Informal_PaymentTerm_1">'Financial Scorecard'!$F$34</definedName>
    <definedName name="Informal_PaymentTerm_2">'Financial Scorecard'!$F$35</definedName>
    <definedName name="Informal_PaymentTerm_3">'Financial Scorecard'!$F$36</definedName>
    <definedName name="Informal_PaymentTerm_4">'Financial Scorecard'!$F$37</definedName>
    <definedName name="Informal_PaymentTerm_5">'Financial Scorecard'!$F$38</definedName>
    <definedName name="Informal_perc_To_Goal_1">'Financial Scorecard'!$T$34</definedName>
    <definedName name="Informal_perc_To_Goal_2">'Financial Scorecard'!$T$35</definedName>
    <definedName name="Informal_perc_To_Goal_3">'Financial Scorecard'!$T$36</definedName>
    <definedName name="Informal_perc_To_Goal_4">'Financial Scorecard'!$T$37</definedName>
    <definedName name="Informal_perc_To_Goal_5">'Financial Scorecard'!$T$38</definedName>
    <definedName name="Informal_Sep_SubTotal">'Financial Scorecard'!$P$39</definedName>
    <definedName name="Informal_SubTotals">'Financial Scorecard'!$H$39:$S$39</definedName>
    <definedName name="Informal_TAP">'Financial Scorecard'!$X$39</definedName>
    <definedName name="Informal_TAP_1">'Financial Scorecard'!$X$34</definedName>
    <definedName name="Informal_TAP_2">'Financial Scorecard'!$X$35</definedName>
    <definedName name="Informal_TAP_3">'Financial Scorecard'!$X$36</definedName>
    <definedName name="Informal_TAP_4">'Financial Scorecard'!$X$37</definedName>
    <definedName name="Informal_TAP_5">'Financial Scorecard'!$X$38</definedName>
    <definedName name="Informal_TATBP_1">'Financial Scorecard'!$V$34</definedName>
    <definedName name="Informal_TATBP_2">'Financial Scorecard'!$V$35</definedName>
    <definedName name="Informal_TATBP_3">'Financial Scorecard'!$V$36</definedName>
    <definedName name="Informal_TATBP_4">'Financial Scorecard'!$V$37</definedName>
    <definedName name="Informal_TATBP_5">'Financial Scorecard'!$V$38</definedName>
    <definedName name="Informal_TCC">'Financial Scorecard'!$W$39</definedName>
    <definedName name="Informal_TCC_1">'Financial Scorecard'!$W$34</definedName>
    <definedName name="Informal_TCC_2">'Financial Scorecard'!$W$35</definedName>
    <definedName name="Informal_TCC_3">'Financial Scorecard'!$W$36</definedName>
    <definedName name="Informal_TCC_4">'Financial Scorecard'!$W$37</definedName>
    <definedName name="Informal_TCC_5">'Financial Scorecard'!$W$38</definedName>
    <definedName name="Informal_Total_perc_To_Goal">'Financial Scorecard'!$T$39</definedName>
    <definedName name="Informal_TotalAmount_To_be_paid">'Financial Scorecard'!$V$39</definedName>
    <definedName name="Initial_amount_Owed_Formal">'Financial Scorecard'!$C$23:$C$30</definedName>
    <definedName name="Initial_amount_Owed_Friends_family">'Financial Scorecard'!$C$42:$C$46</definedName>
    <definedName name="Initial_amount_Owed_Informal">'Financial Scorecard'!$C$34:$C$38</definedName>
    <definedName name="Investments_Total_Savings_To_Be_Made">'Savings and Investments'!$V$37</definedName>
    <definedName name="monthlyExpense_Apr1_Name">'Apr '!$G$42</definedName>
    <definedName name="monthlyExpense_Apr10_Name">'Apr '!$G$51</definedName>
    <definedName name="monthlyExpense_Apr11_Name">'Apr '!$G$52</definedName>
    <definedName name="monthlyExpense_Apr2_Name">'Apr '!$G$43</definedName>
    <definedName name="monthlyExpense_Apr3_Name">'Apr '!$G$44</definedName>
    <definedName name="monthlyExpense_Apr4_Name">'Apr '!$G$45</definedName>
    <definedName name="monthlyExpense_Apr5_Name">'Apr '!$G$46</definedName>
    <definedName name="monthlyExpense_Apr6_Name">'Apr '!$G$47</definedName>
    <definedName name="monthlyExpense_Apr7_Name">'Apr '!$G$48</definedName>
    <definedName name="monthlyExpense_Apr8_Name">'Apr '!$G$49</definedName>
    <definedName name="monthlyExpense_Apr9_Name">'Apr '!$G$50</definedName>
    <definedName name="monthlyExpense_Aug1_Name">Aug!$G$42</definedName>
    <definedName name="monthlyExpense_Aug10_Name">Aug!$G$51</definedName>
    <definedName name="monthlyExpense_Aug11_Name">Aug!$G$52</definedName>
    <definedName name="monthlyExpense_Aug2_Name">Aug!$G$43</definedName>
    <definedName name="monthlyExpense_Aug3_Name">Aug!$G$44</definedName>
    <definedName name="monthlyExpense_Aug4_Name">Aug!$G$45</definedName>
    <definedName name="monthlyExpense_Aug5_Name">Aug!$G$46</definedName>
    <definedName name="monthlyExpense_Aug6_Name">Aug!$G$47</definedName>
    <definedName name="monthlyExpense_Aug7_Name">Aug!$G$48</definedName>
    <definedName name="monthlyExpense_Aug8_Name">Aug!$G$49</definedName>
    <definedName name="monthlyExpense_Aug9_Name">Aug!$G$50</definedName>
    <definedName name="monthlyExpense_Dec1_Name">Dec!$G$42</definedName>
    <definedName name="monthlyExpense_Dec10_Name">Dec!$G$51</definedName>
    <definedName name="monthlyExpense_Dec11_Name">Dec!$G$52</definedName>
    <definedName name="monthlyExpense_Dec2_Name">Dec!$G$43</definedName>
    <definedName name="monthlyExpense_Dec3_Name">Dec!$G$44</definedName>
    <definedName name="monthlyExpense_Dec4_Name">Dec!$G$45</definedName>
    <definedName name="monthlyExpense_Dec5_Name">Dec!$G$46</definedName>
    <definedName name="monthlyExpense_Dec6_Name">Dec!$G$47</definedName>
    <definedName name="monthlyExpense_Dec7_Name">Dec!$G$48</definedName>
    <definedName name="monthlyExpense_Dec8_Name">Dec!$G$49</definedName>
    <definedName name="monthlyExpense_Dec9_Name">Dec!$G$50</definedName>
    <definedName name="monthlyExpense_Feb1_Name">Feb!$G$42</definedName>
    <definedName name="monthlyExpense_Feb10_Name" localSheetId="5">#REF!</definedName>
    <definedName name="monthlyExpense_Feb10_Name" localSheetId="9">#REF!</definedName>
    <definedName name="monthlyExpense_Feb10_Name" localSheetId="13">#REF!</definedName>
    <definedName name="monthlyExpense_Feb10_Name" localSheetId="3">Feb!$G$51</definedName>
    <definedName name="monthlyExpense_Feb10_Name" localSheetId="0">#REF!</definedName>
    <definedName name="monthlyExpense_Feb10_Name" localSheetId="8">#REF!</definedName>
    <definedName name="monthlyExpense_Feb10_Name" localSheetId="7">#REF!</definedName>
    <definedName name="monthlyExpense_Feb10_Name" localSheetId="4">#REF!</definedName>
    <definedName name="monthlyExpense_Feb10_Name" localSheetId="6">#REF!</definedName>
    <definedName name="monthlyExpense_Feb10_Name" localSheetId="1">#REF!</definedName>
    <definedName name="monthlyExpense_Feb10_Name" localSheetId="12">#REF!</definedName>
    <definedName name="monthlyExpense_Feb10_Name" localSheetId="11">#REF!</definedName>
    <definedName name="monthlyExpense_Feb10_Name" localSheetId="10">#REF!</definedName>
    <definedName name="monthlyExpense_Feb10_Name" localSheetId="14">#REF!</definedName>
    <definedName name="monthlyExpense_Feb10_Name">#REF!</definedName>
    <definedName name="monthlyExpense_Feb11_Name" localSheetId="5">#REF!</definedName>
    <definedName name="monthlyExpense_Feb11_Name" localSheetId="9">#REF!</definedName>
    <definedName name="monthlyExpense_Feb11_Name" localSheetId="13">#REF!</definedName>
    <definedName name="monthlyExpense_Feb11_Name" localSheetId="3">Feb!$G$52</definedName>
    <definedName name="monthlyExpense_Feb11_Name" localSheetId="0">#REF!</definedName>
    <definedName name="monthlyExpense_Feb11_Name" localSheetId="8">#REF!</definedName>
    <definedName name="monthlyExpense_Feb11_Name" localSheetId="7">#REF!</definedName>
    <definedName name="monthlyExpense_Feb11_Name" localSheetId="4">#REF!</definedName>
    <definedName name="monthlyExpense_Feb11_Name" localSheetId="6">#REF!</definedName>
    <definedName name="monthlyExpense_Feb11_Name" localSheetId="1">#REF!</definedName>
    <definedName name="monthlyExpense_Feb11_Name" localSheetId="12">#REF!</definedName>
    <definedName name="monthlyExpense_Feb11_Name" localSheetId="11">#REF!</definedName>
    <definedName name="monthlyExpense_Feb11_Name" localSheetId="10">#REF!</definedName>
    <definedName name="monthlyExpense_Feb11_Name" localSheetId="14">#REF!</definedName>
    <definedName name="monthlyExpense_Feb11_Name">#REF!</definedName>
    <definedName name="monthlyExpense_Feb2_Name">Feb!$G$43</definedName>
    <definedName name="monthlyExpense_Feb3_Name">Feb!$G$44</definedName>
    <definedName name="monthlyExpense_Feb4_Name">Feb!$G$45</definedName>
    <definedName name="monthlyExpense_Feb5_Name">Feb!$G$46</definedName>
    <definedName name="monthlyExpense_Feb6_Name">Feb!$G$47</definedName>
    <definedName name="monthlyExpense_Feb7_Name" localSheetId="5">#REF!</definedName>
    <definedName name="monthlyExpense_Feb7_Name" localSheetId="9">#REF!</definedName>
    <definedName name="monthlyExpense_Feb7_Name" localSheetId="13">#REF!</definedName>
    <definedName name="monthlyExpense_Feb7_Name" localSheetId="3">Feb!$G$48</definedName>
    <definedName name="monthlyExpense_Feb7_Name" localSheetId="0">#REF!</definedName>
    <definedName name="monthlyExpense_Feb7_Name" localSheetId="8">#REF!</definedName>
    <definedName name="monthlyExpense_Feb7_Name" localSheetId="7">#REF!</definedName>
    <definedName name="monthlyExpense_Feb7_Name" localSheetId="4">#REF!</definedName>
    <definedName name="monthlyExpense_Feb7_Name" localSheetId="6">#REF!</definedName>
    <definedName name="monthlyExpense_Feb7_Name" localSheetId="1">#REF!</definedName>
    <definedName name="monthlyExpense_Feb7_Name" localSheetId="12">#REF!</definedName>
    <definedName name="monthlyExpense_Feb7_Name" localSheetId="11">#REF!</definedName>
    <definedName name="monthlyExpense_Feb7_Name" localSheetId="10">#REF!</definedName>
    <definedName name="monthlyExpense_Feb7_Name" localSheetId="14">#REF!</definedName>
    <definedName name="monthlyExpense_Feb7_Name">#REF!</definedName>
    <definedName name="monthlyExpense_Feb8_Name" localSheetId="5">#REF!</definedName>
    <definedName name="monthlyExpense_Feb8_Name" localSheetId="9">#REF!</definedName>
    <definedName name="monthlyExpense_Feb8_Name" localSheetId="13">#REF!</definedName>
    <definedName name="monthlyExpense_Feb8_Name" localSheetId="3">Feb!$G$49</definedName>
    <definedName name="monthlyExpense_Feb8_Name" localSheetId="0">#REF!</definedName>
    <definedName name="monthlyExpense_Feb8_Name" localSheetId="8">#REF!</definedName>
    <definedName name="monthlyExpense_Feb8_Name" localSheetId="7">#REF!</definedName>
    <definedName name="monthlyExpense_Feb8_Name" localSheetId="4">#REF!</definedName>
    <definedName name="monthlyExpense_Feb8_Name" localSheetId="6">#REF!</definedName>
    <definedName name="monthlyExpense_Feb8_Name" localSheetId="1">#REF!</definedName>
    <definedName name="monthlyExpense_Feb8_Name" localSheetId="12">#REF!</definedName>
    <definedName name="monthlyExpense_Feb8_Name" localSheetId="11">#REF!</definedName>
    <definedName name="monthlyExpense_Feb8_Name" localSheetId="10">#REF!</definedName>
    <definedName name="monthlyExpense_Feb8_Name" localSheetId="14">#REF!</definedName>
    <definedName name="monthlyExpense_Feb8_Name">#REF!</definedName>
    <definedName name="monthlyExpense_Feb9_Name">Feb!$G$50</definedName>
    <definedName name="monthlyExpense_Jan1_Name" localSheetId="5">'Apr '!$G$42</definedName>
    <definedName name="monthlyExpense_Jan1_Name" localSheetId="9">Aug!$G$42</definedName>
    <definedName name="monthlyExpense_Jan1_Name" localSheetId="13">Dec!$G$42</definedName>
    <definedName name="monthlyExpense_Jan1_Name" localSheetId="3">Feb!$G$42</definedName>
    <definedName name="monthlyExpense_Jan1_Name">Jan!$G$42</definedName>
    <definedName name="monthlyExpense_Jan10_Name" localSheetId="5">'Apr '!$G$51</definedName>
    <definedName name="monthlyExpense_Jan10_Name" localSheetId="9">Aug!$G$51</definedName>
    <definedName name="monthlyExpense_Jan10_Name" localSheetId="13">Dec!$G$51</definedName>
    <definedName name="monthlyExpense_Jan10_Name" localSheetId="3">Feb!$G$51</definedName>
    <definedName name="monthlyExpense_Jan10_Name">Jan!$G$51</definedName>
    <definedName name="monthlyExpense_Jan11_Name" localSheetId="5">'Apr '!$G$52</definedName>
    <definedName name="monthlyExpense_Jan11_Name" localSheetId="9">Aug!$G$52</definedName>
    <definedName name="monthlyExpense_Jan11_Name" localSheetId="13">Dec!$G$52</definedName>
    <definedName name="monthlyExpense_Jan11_Name" localSheetId="3">Feb!$G$52</definedName>
    <definedName name="monthlyExpense_Jan11_Name">Jan!$G$52</definedName>
    <definedName name="monthlyExpense_Jan2_Name" localSheetId="5">'Apr '!$G$43</definedName>
    <definedName name="monthlyExpense_Jan2_Name" localSheetId="9">Aug!$G$43</definedName>
    <definedName name="monthlyExpense_Jan2_Name" localSheetId="13">Dec!$G$43</definedName>
    <definedName name="monthlyExpense_Jan2_Name" localSheetId="3">Feb!$G$43</definedName>
    <definedName name="monthlyExpense_Jan2_Name">Jan!$G$43</definedName>
    <definedName name="monthlyExpense_Jan3_Name" localSheetId="5">'Apr '!$G$44</definedName>
    <definedName name="monthlyExpense_Jan3_Name" localSheetId="9">Aug!$G$44</definedName>
    <definedName name="monthlyExpense_Jan3_Name" localSheetId="13">Dec!$G$44</definedName>
    <definedName name="monthlyExpense_Jan3_Name" localSheetId="3">Feb!$G$44</definedName>
    <definedName name="monthlyExpense_Jan3_Name">Jan!$G$44</definedName>
    <definedName name="monthlyExpense_Jan4_Name" localSheetId="5">'Apr '!$G$45</definedName>
    <definedName name="monthlyExpense_Jan4_Name" localSheetId="9">Aug!$G$45</definedName>
    <definedName name="monthlyExpense_Jan4_Name" localSheetId="13">Dec!$G$45</definedName>
    <definedName name="monthlyExpense_Jan4_Name" localSheetId="3">Feb!$G$45</definedName>
    <definedName name="monthlyExpense_Jan4_Name">Jan!$G$45</definedName>
    <definedName name="monthlyExpense_Jan5_Name" localSheetId="5">'Apr '!$G$46</definedName>
    <definedName name="monthlyExpense_Jan5_Name" localSheetId="9">Aug!$G$46</definedName>
    <definedName name="monthlyExpense_Jan5_Name" localSheetId="13">Dec!$G$46</definedName>
    <definedName name="monthlyExpense_Jan5_Name" localSheetId="3">Feb!$G$46</definedName>
    <definedName name="monthlyExpense_Jan5_Name">Jan!$G$46</definedName>
    <definedName name="monthlyExpense_Jan6_Name" localSheetId="5">'Apr '!$G$47</definedName>
    <definedName name="monthlyExpense_Jan6_Name" localSheetId="9">Aug!$G$47</definedName>
    <definedName name="monthlyExpense_Jan6_Name" localSheetId="13">Dec!$G$47</definedName>
    <definedName name="monthlyExpense_Jan6_Name" localSheetId="3">Feb!$G$47</definedName>
    <definedName name="monthlyExpense_Jan6_Name">Jan!$G$47</definedName>
    <definedName name="monthlyExpense_Jan7_Name" localSheetId="5">'Apr '!$G$48</definedName>
    <definedName name="monthlyExpense_Jan7_Name" localSheetId="9">Aug!$G$48</definedName>
    <definedName name="monthlyExpense_Jan7_Name" localSheetId="13">Dec!$G$48</definedName>
    <definedName name="monthlyExpense_Jan7_Name" localSheetId="3">Feb!$G$48</definedName>
    <definedName name="monthlyExpense_Jan7_Name">Jan!$G$48</definedName>
    <definedName name="monthlyExpense_Jan8_Name" localSheetId="5">'Apr '!$G$49</definedName>
    <definedName name="monthlyExpense_Jan8_Name" localSheetId="9">Aug!$G$49</definedName>
    <definedName name="monthlyExpense_Jan8_Name" localSheetId="13">Dec!$G$49</definedName>
    <definedName name="monthlyExpense_Jan8_Name" localSheetId="3">Feb!$G$49</definedName>
    <definedName name="monthlyExpense_Jan8_Name">Jan!$G$49</definedName>
    <definedName name="monthlyExpense_Jan9_Name" localSheetId="5">'Apr '!$G$50</definedName>
    <definedName name="monthlyExpense_Jan9_Name" localSheetId="9">Aug!$G$50</definedName>
    <definedName name="monthlyExpense_Jan9_Name" localSheetId="13">Dec!$G$50</definedName>
    <definedName name="monthlyExpense_Jan9_Name" localSheetId="3">Feb!$G$50</definedName>
    <definedName name="monthlyExpense_Jan9_Name">Jan!$G$50</definedName>
    <definedName name="monthlyExpense_Jul1_Name">Jul!$G$42</definedName>
    <definedName name="monthlyExpense_Jul10_Name">Jul!$G$51</definedName>
    <definedName name="monthlyExpense_Jul11_Name">Jul!$G$52</definedName>
    <definedName name="monthlyExpense_Jul2_Name">Jul!$G$43</definedName>
    <definedName name="monthlyExpense_Jul3_Name">Jul!$G$44</definedName>
    <definedName name="monthlyExpense_Jul4_Name">Jul!$G$45</definedName>
    <definedName name="monthlyExpense_Jul5_Name">Jul!$G$46</definedName>
    <definedName name="monthlyExpense_Jul6_Name">Jul!$G$47</definedName>
    <definedName name="monthlyExpense_Jul7_Name">Jul!$G$48</definedName>
    <definedName name="monthlyExpense_Jul8_Name">Jul!$G$49</definedName>
    <definedName name="monthlyExpense_Jul9_Name">Jul!$G$50</definedName>
    <definedName name="monthlyExpense_Jun1_Name">Jun!$G$42</definedName>
    <definedName name="monthlyExpense_Jun10_Name">Jun!$G$51</definedName>
    <definedName name="monthlyExpense_Jun11_Name">Jun!$G$52</definedName>
    <definedName name="monthlyExpense_Jun2_Name">Jun!$G$43</definedName>
    <definedName name="monthlyExpense_Jun3_Name">Jun!$G$44</definedName>
    <definedName name="monthlyExpense_Jun4_Name">Jun!$G$45</definedName>
    <definedName name="monthlyExpense_Jun5_Name">Jun!$G$46</definedName>
    <definedName name="monthlyExpense_Jun6_Name">Jun!$G$47</definedName>
    <definedName name="monthlyExpense_Jun7_Name">Jun!$G$48</definedName>
    <definedName name="monthlyExpense_Jun8_Name">Jun!$G$49</definedName>
    <definedName name="monthlyExpense_Jun9_Name">Jun!$G$50</definedName>
    <definedName name="monthlyExpense_Mar1_Name">Mar!$G$42</definedName>
    <definedName name="monthlyExpense_Mar10_Name">Mar!$G$51</definedName>
    <definedName name="monthlyExpense_Mar11_Name">Mar!$G$52</definedName>
    <definedName name="monthlyExpense_Mar2_Name">Mar!$G$43</definedName>
    <definedName name="monthlyExpense_Mar2_NameMar" localSheetId="0">#REF!</definedName>
    <definedName name="monthlyExpense_Mar2_NameMar" localSheetId="1">#REF!</definedName>
    <definedName name="monthlyExpense_Mar2_NameMar">#REF!</definedName>
    <definedName name="monthlyExpense_Mar3_Name">Mar!$G$44</definedName>
    <definedName name="monthlyExpense_Mar4_Name">Mar!$G$45</definedName>
    <definedName name="monthlyExpense_Mar5_Name">Mar!$G$46</definedName>
    <definedName name="monthlyExpense_Mar6_Name">Mar!$G$47</definedName>
    <definedName name="monthlyExpense_Mar7_Name">Mar!$G$48</definedName>
    <definedName name="monthlyExpense_Mar8_Name">Mar!$G$49</definedName>
    <definedName name="monthlyExpense_Mar9_Name">Mar!$G$50</definedName>
    <definedName name="monthlyExpense_March2_Name" localSheetId="0">#REF!</definedName>
    <definedName name="monthlyExpense_March2_Name" localSheetId="1">#REF!</definedName>
    <definedName name="monthlyExpense_March2_Name">#REF!</definedName>
    <definedName name="monthlyExpense_May1_Name">May!$G$42</definedName>
    <definedName name="monthlyExpense_May10_Name">May!$G$51</definedName>
    <definedName name="monthlyExpense_May11_Name">May!$G$52</definedName>
    <definedName name="monthlyExpense_May2_Name">May!$G$43</definedName>
    <definedName name="monthlyExpense_May3_Name">May!$G$44</definedName>
    <definedName name="monthlyExpense_May4_Name">May!$G$45</definedName>
    <definedName name="monthlyExpense_May5_Name">May!$G$46</definedName>
    <definedName name="monthlyExpense_May6_Name">May!$G$47</definedName>
    <definedName name="monthlyExpense_May7_Name">May!$G$48</definedName>
    <definedName name="monthlyExpense_May8_Name">May!$G$49</definedName>
    <definedName name="monthlyExpense_May9_Name">May!$G$50</definedName>
    <definedName name="monthlyExpense_Name_Mar2" localSheetId="0">#REF!</definedName>
    <definedName name="monthlyExpense_Name_Mar2" localSheetId="1">#REF!</definedName>
    <definedName name="monthlyExpense_Name_Mar2">#REF!</definedName>
    <definedName name="monthlyExpense_Nov1_Name">Nov!$G$42</definedName>
    <definedName name="monthlyExpense_Nov10_Name">Nov!$G$51</definedName>
    <definedName name="monthlyExpense_Nov11_Name">Nov!$G$52</definedName>
    <definedName name="monthlyExpense_Nov2_Name">Nov!$G$43</definedName>
    <definedName name="monthlyExpense_Nov3_Name">Nov!$G$44</definedName>
    <definedName name="monthlyExpense_Nov4_Name">Nov!$G$45</definedName>
    <definedName name="monthlyExpense_Nov5_Name">Nov!$G$46</definedName>
    <definedName name="monthlyExpense_Nov6_Name">Nov!$G$47</definedName>
    <definedName name="monthlyExpense_Nov7_Name">Nov!$G$48</definedName>
    <definedName name="monthlyExpense_Nov8_Name">Nov!$G$49</definedName>
    <definedName name="monthlyExpense_Nov9_Name">Nov!$G$50</definedName>
    <definedName name="monthlyExpense_Oct1_Name">Oct!$G$42</definedName>
    <definedName name="monthlyExpense_Oct10_Name">Oct!$G$51</definedName>
    <definedName name="monthlyExpense_Oct11_Name">Oct!$G$52</definedName>
    <definedName name="monthlyExpense_Oct2_Name">Oct!$G$43</definedName>
    <definedName name="monthlyExpense_Oct3_Name">Oct!$G$44</definedName>
    <definedName name="monthlyExpense_Oct4_Name">Oct!$G$45</definedName>
    <definedName name="monthlyExpense_Oct5_Name">Oct!$G$46</definedName>
    <definedName name="monthlyExpense_Oct6_Name">Oct!$G$47</definedName>
    <definedName name="monthlyExpense_Oct7_Name">Oct!$G$48</definedName>
    <definedName name="monthlyExpense_Oct8_Name">Oct!$G$49</definedName>
    <definedName name="monthlyExpense_Oct9_Name">Oct!$G$50</definedName>
    <definedName name="monthlyExpense_Sep1_Name">Sep!$G$42</definedName>
    <definedName name="monthlyExpense_Sep10_Name">Sep!$G$51</definedName>
    <definedName name="monthlyExpense_Sep11_Name">Sep!$G$52</definedName>
    <definedName name="monthlyExpense_Sep2_Name">Sep!$G$43</definedName>
    <definedName name="monthlyExpense_Sep3_Name">Sep!$G$44</definedName>
    <definedName name="monthlyExpense_Sep4_Name">Sep!$G$45</definedName>
    <definedName name="monthlyExpense_Sep5_Name">Sep!$G$46</definedName>
    <definedName name="monthlyExpense_Sep6_Name">Sep!$G$47</definedName>
    <definedName name="monthlyExpense_Sep7_Name">Sep!$G$48</definedName>
    <definedName name="monthlyExpense_Sep8_Name">Sep!$G$49</definedName>
    <definedName name="monthlyExpense_Sep9_Name">Sep!$G$50</definedName>
    <definedName name="monthlyExpense_YEARLY1_Name">YEARLY!$G$42</definedName>
    <definedName name="monthlyExpense_YEARLY10_Name">YEARLY!$G$51</definedName>
    <definedName name="monthlyExpense_YEARLY11_Name">YEARLY!$G$52</definedName>
    <definedName name="monthlyExpense_YEARLY2_Name">YEARLY!$G$43</definedName>
    <definedName name="monthlyExpense_YEARLY3_Name">YEARLY!$G$44</definedName>
    <definedName name="monthlyExpense_YEARLY4_Name">YEARLY!$G$45</definedName>
    <definedName name="monthlyExpense_YEARLY5_Name">YEARLY!$G$46</definedName>
    <definedName name="monthlyExpense_YEARLY6_Name">YEARLY!$G$47</definedName>
    <definedName name="monthlyExpense_YEARLY7_Name">YEARLY!$G$48</definedName>
    <definedName name="monthlyExpense_YEARLY8_Name">YEARLY!$G$49</definedName>
    <definedName name="monthlyExpense_YEARLY9_Name">YEARLY!$G$50</definedName>
    <definedName name="MonthlyIncome_Apr_Name">'Apr '!$B$42</definedName>
    <definedName name="MonthlyIncome_Apr_Name2">'Apr '!$B$43</definedName>
    <definedName name="MonthlyIncome_Apr_Name3">'Apr '!$B$44</definedName>
    <definedName name="MonthlyIncome_Apr_Name4">'Apr '!$B$45</definedName>
    <definedName name="MonthlyIncome_Apr_Name5">'Apr '!$B$46</definedName>
    <definedName name="MonthlyIncome_Apr_Name6">'Apr '!$B$47</definedName>
    <definedName name="MonthlyIncome_Apr_Name7">'Apr '!$B$48</definedName>
    <definedName name="MonthlyIncome_Apr_Name8">'Apr '!$B$49</definedName>
    <definedName name="MonthlyIncome_Aug_Name">Aug!$B$42</definedName>
    <definedName name="MonthlyIncome_Aug_Name2">Aug!$B$43</definedName>
    <definedName name="MonthlyIncome_Aug_Name3">Aug!$B$44</definedName>
    <definedName name="MonthlyIncome_Aug_Name4">Aug!$B$45</definedName>
    <definedName name="MonthlyIncome_Aug_Name5">Aug!$B$46</definedName>
    <definedName name="MonthlyIncome_Aug_Name6">Aug!$B$47</definedName>
    <definedName name="MonthlyIncome_Aug_Name7">Aug!$B$48</definedName>
    <definedName name="MonthlyIncome_Aug_Name8">Aug!$B$49</definedName>
    <definedName name="MonthlyIncome_Dec_Name1">Dec!$B$42</definedName>
    <definedName name="MonthlyIncome_Dec_Name2">Dec!$B$43</definedName>
    <definedName name="MonthlyIncome_Dec_Name3">Dec!$B$44</definedName>
    <definedName name="MonthlyIncome_Dec_Name4">Dec!$B$45</definedName>
    <definedName name="MonthlyIncome_Dec_Name5">Dec!$B$46</definedName>
    <definedName name="MonthlyIncome_Dec_Name6">Dec!$B$47</definedName>
    <definedName name="MonthlyIncome_Dec_Name7">Dec!$B$48</definedName>
    <definedName name="MonthlyIncome_Dec_Name8">Dec!$B$49</definedName>
    <definedName name="MonthlyIncome_Feb1_Name">Feb!$B$42</definedName>
    <definedName name="MonthlyIncome_Feb2_Name">Feb!$B$43</definedName>
    <definedName name="MonthlyIncome_Feb3_Name">Feb!$B$44</definedName>
    <definedName name="MonthlyIncome_Feb4_Name">Feb!$B$45</definedName>
    <definedName name="MonthlyIncome_Feb5_Name">Feb!$B$46</definedName>
    <definedName name="MonthlyIncome_Feb6_Name">Feb!$B$47</definedName>
    <definedName name="MonthlyIncome_Feb7_Name">Feb!$B$48</definedName>
    <definedName name="MonthlyIncome_Feb8_Name">Feb!$B$49</definedName>
    <definedName name="MonthlyIncome_Jan1_Name">Jan!$B$42</definedName>
    <definedName name="MonthlyIncome_Jan2_Name">Jan!$B$43</definedName>
    <definedName name="MonthlyIncome_Jan3_Name">Jan!$B$44</definedName>
    <definedName name="MonthlyIncome_Jan4_Name">Jan!$B$45</definedName>
    <definedName name="MonthlyIncome_Jan5_Name">Jan!$B$46</definedName>
    <definedName name="MonthlyIncome_Jan6_Name">Jan!$B$47</definedName>
    <definedName name="MonthlyIncome_Jan7_Name">Jan!$B$48</definedName>
    <definedName name="MonthlyIncome_Jan8_Name">Jan!$B$49</definedName>
    <definedName name="MonthlyIncome_Jul_Name">Jul!$B$42</definedName>
    <definedName name="MonthlyIncome_Jul_Name2">Jul!$B$43</definedName>
    <definedName name="MonthlyIncome_Jul_Name3">Jul!$B$44</definedName>
    <definedName name="MonthlyIncome_Jul_Name4">Jul!$B$45</definedName>
    <definedName name="MonthlyIncome_Jul_Name5">Jul!$B$46</definedName>
    <definedName name="MonthlyIncome_Jul_Name6">Jul!$B$47</definedName>
    <definedName name="MonthlyIncome_Jul_Name7">Jul!$B$48</definedName>
    <definedName name="MonthlyIncome_Jul_Name8">Jul!$B$49</definedName>
    <definedName name="MonthlyIncome_Jun_Name">Jun!$B$42</definedName>
    <definedName name="MonthlyIncome_Jun_Name2">Jun!$B$43</definedName>
    <definedName name="MonthlyIncome_Jun_Name3">Jun!$B$44</definedName>
    <definedName name="MonthlyIncome_Jun_Name4">Jun!$B$45</definedName>
    <definedName name="MonthlyIncome_Jun_Name5">Jun!$B$46</definedName>
    <definedName name="MonthlyIncome_Jun_Name6">Jun!$B$47</definedName>
    <definedName name="MonthlyIncome_Jun_Name7">Jun!$B$48</definedName>
    <definedName name="MonthlyIncome_Jun_Name8">Jun!$B$49</definedName>
    <definedName name="MonthlyIncome_Mar_Name">Mar!$B$42</definedName>
    <definedName name="MonthlyIncome_Mar_Name2">Mar!$B$43</definedName>
    <definedName name="MonthlyIncome_Mar_Name3">Mar!$B$44</definedName>
    <definedName name="MonthlyIncome_Mar_Name4">Mar!$B$45</definedName>
    <definedName name="MonthlyIncome_Mar_Name5">Mar!$B$46</definedName>
    <definedName name="MonthlyIncome_Mar_Name6">Mar!$B$47</definedName>
    <definedName name="MonthlyIncome_Mar_Name7">Mar!$B$48</definedName>
    <definedName name="MonthlyIncome_Mar_Name8">Mar!$B$49</definedName>
    <definedName name="MonthlyIncome_May_Name">May!$B$42</definedName>
    <definedName name="MonthlyIncome_May_Name2">May!$B$43</definedName>
    <definedName name="MonthlyIncome_May_Name3">May!$B$44</definedName>
    <definedName name="MonthlyIncome_May_Name4">May!$B$45</definedName>
    <definedName name="MonthlyIncome_May_Name5">May!$B$46</definedName>
    <definedName name="MonthlyIncome_May_Name6">May!$B$47</definedName>
    <definedName name="MonthlyIncome_May_Name7">May!$B$48</definedName>
    <definedName name="MonthlyIncome_May_Name8">May!$B$49</definedName>
    <definedName name="MonthlyIncome_Nov_Name1">Nov!$B$42</definedName>
    <definedName name="MonthlyIncome_Nov_Name2">Nov!$B$43</definedName>
    <definedName name="MonthlyIncome_Nov_Name3">Nov!$B$44</definedName>
    <definedName name="MonthlyIncome_Nov_Name4">Nov!$B$45</definedName>
    <definedName name="MonthlyIncome_Nov_Name5">Nov!$B$46</definedName>
    <definedName name="MonthlyIncome_Nov_Name6">Nov!$B$47</definedName>
    <definedName name="MonthlyIncome_Nov_Name7">Nov!$B$48</definedName>
    <definedName name="MonthlyIncome_Nov_Name8">Nov!$B$49</definedName>
    <definedName name="MonthlyIncome_Oct_Name1">Oct!$B$42</definedName>
    <definedName name="MonthlyIncome_Oct_Name2">Oct!$B$43</definedName>
    <definedName name="MonthlyIncome_Oct_Name3">Oct!$B$44</definedName>
    <definedName name="MonthlyIncome_Oct_Name4">Oct!$B$45</definedName>
    <definedName name="MonthlyIncome_Oct_Name5">Oct!$B$46</definedName>
    <definedName name="MonthlyIncome_Oct_Name6">Oct!$B$47</definedName>
    <definedName name="MonthlyIncome_Oct_Name7">Oct!$B$48</definedName>
    <definedName name="MonthlyIncome_Oct_Name8">Oct!$B$49</definedName>
    <definedName name="MonthlyIncome_Sep_Name">Sep!$B$42</definedName>
    <definedName name="MonthlyIncome_Sep_Name2">Sep!$B$43</definedName>
    <definedName name="MonthlyIncome_Sep_Name3">Sep!$B$44</definedName>
    <definedName name="MonthlyIncome_Sep_Name4">Sep!$B$45</definedName>
    <definedName name="MonthlyIncome_Sep_Name5">Sep!$B$46</definedName>
    <definedName name="MonthlyIncome_Sep_Name6">Sep!$B$47</definedName>
    <definedName name="MonthlyIncome_Sep_Name7">Sep!$B$48</definedName>
    <definedName name="MonthlyIncome_Sep_Name8">Sep!$B$49</definedName>
    <definedName name="MonthlyIncome_Yearly_Name1">YEARLY!$B$42</definedName>
    <definedName name="MonthlyIncome_Yearly_Name2">YEARLY!$B$43</definedName>
    <definedName name="MonthlyIncome_Yearly_Name3">YEARLY!$B$44</definedName>
    <definedName name="MonthlyIncome_Yearly_Name4">YEARLY!$B$45</definedName>
    <definedName name="MonthlyIncome_Yearly_Name5">YEARLY!$B$46</definedName>
    <definedName name="MonthlyIncome_Yearly_Name6">YEARLY!$B$47</definedName>
    <definedName name="MonthlyIncome_Yearly_Name7">YEARLY!$B$48</definedName>
    <definedName name="MonthlyIncome_Yearly_Name8">YEARLY!$B$49</definedName>
    <definedName name="Names_Family_and_Friends">'Financial Scorecard'!$B$42:$C$46</definedName>
    <definedName name="Names_Formal_and_Retail">'Financial Scorecard'!$B$23:$C$30</definedName>
    <definedName name="Names_Informal_and_Retail">'Financial Scorecard'!$B$34:$C$38</definedName>
    <definedName name="Over_under_expenses_Apr">'Apr '!$J$42:$J$52</definedName>
    <definedName name="Over_under_expenses_Aug">Aug!$J$42:$J$52</definedName>
    <definedName name="Over_under_expenses_Dec">Dec!$J$42:$J$52</definedName>
    <definedName name="Over_under_expenses_Feb">Feb!$J$42:$J$52</definedName>
    <definedName name="Over_under_expenses_Jan" localSheetId="5">'Apr '!$J$42:$J$52</definedName>
    <definedName name="Over_under_expenses_Jan" localSheetId="9">Aug!$J$42:$J$52</definedName>
    <definedName name="Over_under_expenses_Jan" localSheetId="13">Dec!$J$42:$J$52</definedName>
    <definedName name="Over_under_expenses_Jan" localSheetId="3">Feb!$J$42:$J$52</definedName>
    <definedName name="Over_under_expenses_Jan">Jan!$J$42:$J$52</definedName>
    <definedName name="Over_under_expenses_Jul">Jul!$J$42:$J$52</definedName>
    <definedName name="Over_under_expenses_Jun">Jun!$J$42:$J$52</definedName>
    <definedName name="Over_under_expenses_Mar">Mar!$J$42:$J$52</definedName>
    <definedName name="Over_under_expenses_May">May!$J$42:$J$52</definedName>
    <definedName name="Over_under_expenses_Nov">Nov!$J$42:$J$52</definedName>
    <definedName name="Over_under_expenses_Oct">Oct!$J$42:$J$52</definedName>
    <definedName name="Over_under_expenses_Sep">Sep!$J$42:$J$52</definedName>
    <definedName name="Over_under_expenses_YEARLY">YEARLY!$J$42:$J$52</definedName>
    <definedName name="Over_under_Goals_Annual">YEARLY!$O$43:$O$46</definedName>
    <definedName name="Over_under_Goals_Apr">'Apr '!$O$43:$O$46</definedName>
    <definedName name="Over_under_Goals_Aug">Aug!$O$43:$O$46</definedName>
    <definedName name="Over_under_Goals_Dec">Dec!$O$43:$O$46</definedName>
    <definedName name="Over_under_Goals_Feb">Feb!$O$43:$O$46</definedName>
    <definedName name="Over_under_Goals_Jan" localSheetId="5">'Apr '!$O$43:$O$46</definedName>
    <definedName name="Over_under_Goals_Jan" localSheetId="9">Aug!$O$43:$O$46</definedName>
    <definedName name="Over_under_Goals_Jan" localSheetId="13">Dec!$O$43:$O$46</definedName>
    <definedName name="Over_under_Goals_Jan" localSheetId="3">Feb!$O$43:$O$46</definedName>
    <definedName name="Over_under_Goals_Jan">Jan!$O$43:$O$46</definedName>
    <definedName name="Over_under_Goals_Jul">Jul!$O$43:$O$46</definedName>
    <definedName name="Over_under_Goals_Jun">Jun!$O$43:$O$46</definedName>
    <definedName name="Over_under_Goals_Mar">Mar!$O$43:$O$46</definedName>
    <definedName name="Over_under_Goals_May">May!$O$43:$O$46</definedName>
    <definedName name="Over_under_Goals_Nov">Nov!$O$43:$O$46</definedName>
    <definedName name="Over_under_Goals_Oct">Oct!$O$43:$O$46</definedName>
    <definedName name="Over_under_Goals_Sep">Sep!$O$43:$O$46</definedName>
    <definedName name="Over_under_income_Apr">'Apr '!$E$42:$E$49</definedName>
    <definedName name="Over_under_income_Aug">Aug!$E$42:$E$49</definedName>
    <definedName name="Over_under_income_Dec">Dec!$E$42:$E$49</definedName>
    <definedName name="Over_under_income_Feb">Feb!$E$42:$E$49</definedName>
    <definedName name="Over_under_income_Jan" localSheetId="5">'Apr '!$E$42:$E$49</definedName>
    <definedName name="Over_under_income_Jan" localSheetId="9">Aug!$E$42:$E$49</definedName>
    <definedName name="Over_under_income_Jan" localSheetId="13">Dec!$E$42:$E$49</definedName>
    <definedName name="Over_under_income_Jan" localSheetId="3">Feb!$E$42:$E$49</definedName>
    <definedName name="Over_under_income_Jan">Jan!$E$42:$E$49</definedName>
    <definedName name="Over_under_income_Jul">Jul!$E$42:$E$49</definedName>
    <definedName name="Over_under_income_Jun">Jun!$E$42:$E$49</definedName>
    <definedName name="Over_under_income_Mar">Mar!$E$42:$E$49</definedName>
    <definedName name="Over_under_income_May">May!$E$42:$E$49</definedName>
    <definedName name="Over_under_income_Nov">Nov!$E$42:$E$49</definedName>
    <definedName name="Over_under_income_Oct">Oct!$E$42:$E$49</definedName>
    <definedName name="Over_under_income_Sep">Sep!$E$42:$E$49</definedName>
    <definedName name="Over_under_income_YEARLY">YEARLY!$E$42:$E$49</definedName>
    <definedName name="Over_Under_Savings_Apr">'Apr '!$O$48:$O$51</definedName>
    <definedName name="Over_Under_Savings_Aug">Aug!$O$48:$O$51</definedName>
    <definedName name="Over_Under_Savings_Dec">Dec!$O$48:$O$51</definedName>
    <definedName name="Over_Under_Savings_Feb">Feb!$O$48:$O$51</definedName>
    <definedName name="Over_Under_Savings_jan" localSheetId="5">'Apr '!$O$48:$O$51</definedName>
    <definedName name="Over_Under_Savings_jan" localSheetId="9">Aug!$O$48:$O$51</definedName>
    <definedName name="Over_Under_Savings_jan" localSheetId="13">Dec!$O$48:$O$51</definedName>
    <definedName name="Over_Under_Savings_jan" localSheetId="3">Feb!$O$48:$O$51</definedName>
    <definedName name="Over_Under_Savings_jan">Jan!$O$48:$O$51</definedName>
    <definedName name="Over_Under_Savings_Jul">Jul!$O$48:$O$51</definedName>
    <definedName name="Over_Under_Savings_Jun">Jun!$O$48:$O$51</definedName>
    <definedName name="Over_Under_Savings_Mar">Mar!$O$48:$O$51</definedName>
    <definedName name="Over_Under_Savings_May">May!$O$48:$O$51</definedName>
    <definedName name="Over_Under_Savings_Nov">Nov!$O$48:$O$51</definedName>
    <definedName name="Over_Under_Savings_Oct">Oct!$O$48:$O$51</definedName>
    <definedName name="Over_Under_Savings_Sep">Sep!$O$48:$O$51</definedName>
    <definedName name="Over_Under_Savings_YEARLY">YEARLY!$O$48:$O$51</definedName>
    <definedName name="percentage_to_goal_formal">'Financial Scorecard'!$T$23:$T$30</definedName>
    <definedName name="percentage_to_goal_Friends_family">'Financial Scorecard'!$T$42:$T$46</definedName>
    <definedName name="percentage_to_goal_Informal">'Financial Scorecard'!$T$34:$T$38</definedName>
    <definedName name="PercIncome_Used_for_Jan">Jan!$Y$49</definedName>
    <definedName name="Remaining_Amount">Jan!$Y$48</definedName>
    <definedName name="Remaining_income_Feb">Feb!$Y$48</definedName>
    <definedName name="SavingInvestment_toPercentage">'Savings and Investments'!$T$33:$T$36</definedName>
    <definedName name="SavingInvestments_MinSavings">'Savings and Investments'!$E$33:$E$36</definedName>
    <definedName name="Savings_1_Monthly_Savings">'Savings and Investments'!$G$33:$S$33</definedName>
    <definedName name="Savings_2_Monthly_Savings">'Savings and Investments'!$G$34:$S$34</definedName>
    <definedName name="Savings_3_Monthly_Savings">'Savings and Investments'!$G$35:$S$35</definedName>
    <definedName name="Savings_4_Monthly_Savings">'Savings and Investments'!$G$36:$S$36</definedName>
    <definedName name="Savings_Amount_Total">'Savings and Investments'!$C$33:$C$36</definedName>
    <definedName name="Savings_Goal_1">'Savings and Investments'!$B$23</definedName>
    <definedName name="Savings_Goal_2">'Savings and Investments'!$B$24</definedName>
    <definedName name="Savings_Goal_3">'Savings and Investments'!$B$25</definedName>
    <definedName name="Savings_Goal_4">'Savings and Investments'!$B$26</definedName>
    <definedName name="Savings_Goal_AnnualInterest_1">'Savings and Investments'!$G$23</definedName>
    <definedName name="Savings_Goal_AnnualInterest_2">'Savings and Investments'!$G$24</definedName>
    <definedName name="Savings_Goal_AnnualInterest_3">'Savings and Investments'!$G$25</definedName>
    <definedName name="Savings_Goal_AnnualInterest_4">'Savings and Investments'!$G$26</definedName>
    <definedName name="Savings_Goal_Interest_1">'Savings and Investments'!$F$23</definedName>
    <definedName name="Savings_Goal_Interest_2">'Savings and Investments'!$F$24</definedName>
    <definedName name="Savings_Goal_Interest_3">'Savings and Investments'!$F$25</definedName>
    <definedName name="Savings_Goal_Interest_4">'Savings and Investments'!$F$26</definedName>
    <definedName name="Savings_Goal_MinSavings_1">'Savings and Investments'!$E$23</definedName>
    <definedName name="Savings_Goal_MinSavings_2">'Savings and Investments'!$E$24</definedName>
    <definedName name="Savings_Goal_MinSavings_3">'Savings and Investments'!$E$25</definedName>
    <definedName name="Savings_Goal_MinSavings_4">'Savings and Investments'!$E$26</definedName>
    <definedName name="Savings_Goal_MonthlySavings_3Sep_">'Savings and Investments'!$P$25</definedName>
    <definedName name="Savings_Goal_MonthlySavings_AnnualSa2ving_">'Savings and Investments'!$U$24</definedName>
    <definedName name="Savings_Goal_MonthlySavings_AnnualSaving_1">'Savings and Investments'!$U$23</definedName>
    <definedName name="Savings_Goal_MonthlySavings_AnnualSaving_3">'Savings and Investments'!$U$25</definedName>
    <definedName name="Savings_Goal_MonthlySavings_AnnualSaving_4">'Savings and Investments'!$U$26</definedName>
    <definedName name="Savings_Goal_MonthlySavings_Aprr_1">'Savings and Investments'!$K$23</definedName>
    <definedName name="Savings_Goal_MonthlySavings_Aprr_2">'Savings and Investments'!$K$24</definedName>
    <definedName name="Savings_Goal_MonthlySavings_Aprr_3">'Savings and Investments'!$K$25</definedName>
    <definedName name="Savings_Goal_MonthlySavings_Aprr_4">'Savings and Investments'!$K$26</definedName>
    <definedName name="Savings_Goal_MonthlySavings_Aug_1">'Savings and Investments'!$O$23</definedName>
    <definedName name="Savings_Goal_MonthlySavings_Aug_2">'Savings and Investments'!$O$24</definedName>
    <definedName name="Savings_Goal_MonthlySavings_Aug_3">'Savings and Investments'!$O$25</definedName>
    <definedName name="Savings_Goal_MonthlySavings_Aug_4">'Savings and Investments'!$O$26</definedName>
    <definedName name="Savings_Goal_MonthlySavings_Dec_1">'Savings and Investments'!$S$23</definedName>
    <definedName name="Savings_Goal_MonthlySavings_Dec_2">'Savings and Investments'!$S$24</definedName>
    <definedName name="Savings_Goal_MonthlySavings_Dec_3">'Savings and Investments'!$S$25</definedName>
    <definedName name="Savings_Goal_MonthlySavings_Dec_4">'Savings and Investments'!$S$26</definedName>
    <definedName name="Savings_Goal_MonthlySavings_Feb_1">'Savings and Investments'!$I$23</definedName>
    <definedName name="Savings_Goal_MonthlySavings_Feb_2">'Savings and Investments'!$I$24</definedName>
    <definedName name="Savings_Goal_MonthlySavings_Feb_3">'Savings and Investments'!$I$25</definedName>
    <definedName name="Savings_Goal_MonthlySavings_Feb_4">'Savings and Investments'!$I$26</definedName>
    <definedName name="Savings_Goal_MonthlySavings_Jan_1">'Savings and Investments'!$H$23</definedName>
    <definedName name="Savings_Goal_MonthlySavings_Jan_2">'Savings and Investments'!$H$24</definedName>
    <definedName name="Savings_Goal_MonthlySavings_Jan_3">'Savings and Investments'!$H$25</definedName>
    <definedName name="Savings_Goal_MonthlySavings_Jan_4">'Savings and Investments'!$H$26</definedName>
    <definedName name="Savings_Goal_MonthlySavings_Jul_1">'Savings and Investments'!$N$23</definedName>
    <definedName name="Savings_Goal_MonthlySavings_Jul_2">'Savings and Investments'!$N$24</definedName>
    <definedName name="Savings_Goal_MonthlySavings_Jul_3">'Savings and Investments'!$N$25</definedName>
    <definedName name="Savings_Goal_MonthlySavings_Jul_4">'Savings and Investments'!$N$26</definedName>
    <definedName name="Savings_Goal_MonthlySavings_Jun_1">'Savings and Investments'!$M$23</definedName>
    <definedName name="Savings_Goal_MonthlySavings_Jun_2">'Savings and Investments'!$M$24</definedName>
    <definedName name="Savings_Goal_MonthlySavings_Jun_3">'Savings and Investments'!$M$25</definedName>
    <definedName name="Savings_Goal_MonthlySavings_Jun_4">'Savings and Investments'!$M$26</definedName>
    <definedName name="Savings_Goal_MonthlySavings_Mar_1">'Savings and Investments'!$J$23</definedName>
    <definedName name="Savings_Goal_MonthlySavings_Mar_2">'Savings and Investments'!$J$24</definedName>
    <definedName name="Savings_Goal_MonthlySavings_Mar_3">'Savings and Investments'!$J$25</definedName>
    <definedName name="Savings_Goal_MonthlySavings_Mar_4">'Savings and Investments'!$J$26</definedName>
    <definedName name="Savings_Goal_MonthlySavings_May_1">'Savings and Investments'!$L$23</definedName>
    <definedName name="Savings_Goal_MonthlySavings_May_2">'Savings and Investments'!$L$24</definedName>
    <definedName name="Savings_Goal_MonthlySavings_May_3">'Savings and Investments'!$L$25</definedName>
    <definedName name="Savings_Goal_MonthlySavings_May_4">'Savings and Investments'!$L$26</definedName>
    <definedName name="Savings_Goal_MonthlySavings_Nov_1">'Savings and Investments'!$R$23</definedName>
    <definedName name="Savings_Goal_MonthlySavings_Nov_2">'Savings and Investments'!$R$24</definedName>
    <definedName name="Savings_Goal_MonthlySavings_Nov_3">'Savings and Investments'!$R$25</definedName>
    <definedName name="Savings_Goal_MonthlySavings_Nov_4">'Savings and Investments'!$R$26</definedName>
    <definedName name="Savings_Goal_MonthlySavings_Oct_1">'Savings and Investments'!$Q$23</definedName>
    <definedName name="Savings_Goal_MonthlySavings_Oct_2">'Savings and Investments'!$Q$24</definedName>
    <definedName name="Savings_Goal_MonthlySavings_Oct_3">'Savings and Investments'!$Q$25</definedName>
    <definedName name="Savings_Goal_MonthlySavings_Oct_4">'Savings and Investments'!$Q$26</definedName>
    <definedName name="Savings_Goal_MonthlySavings_PercGoal_1">'Savings and Investments'!$T$23</definedName>
    <definedName name="Savings_Goal_MonthlySavings_PercGoal_2">'Savings and Investments'!$T$24</definedName>
    <definedName name="Savings_Goal_MonthlySavings_PercGoal_3">'Savings and Investments'!$T$25</definedName>
    <definedName name="Savings_Goal_MonthlySavings_PercGoal_4">'Savings and Investments'!$T$26</definedName>
    <definedName name="Savings_Goal_MonthlySavings_Sep_1">'Savings and Investments'!$P$23</definedName>
    <definedName name="Savings_Goal_MonthlySavings_Sep_2">'Savings and Investments'!$P$24</definedName>
    <definedName name="Savings_Goal_MonthlySavings_Sep_4">'Savings and Investments'!$P$26</definedName>
    <definedName name="Savings_Goal_MonthlySavings_Total_Value_Saving__1">'Savings and Investments'!$W$23</definedName>
    <definedName name="Savings_Goal_MonthlySavings_Total_Value_Saving__2">'Savings and Investments'!$W$24</definedName>
    <definedName name="Savings_Goal_MonthlySavings_Total_Value_Saving__3">'Savings and Investments'!$W$25</definedName>
    <definedName name="Savings_Goal_MonthlySavings_Total_Value_Saving__4">'Savings and Investments'!$W$26</definedName>
    <definedName name="Savings_Goal_MonthlySavings_TotalSaving__made_1">'Savings and Investments'!$V$23</definedName>
    <definedName name="Savings_Goal_MonthlySavings_TotalSaving__made_2">'Savings and Investments'!$V$24</definedName>
    <definedName name="Savings_Goal_MonthlySavings_TotalSaving__made_3">'Savings and Investments'!$V$25</definedName>
    <definedName name="Savings_Goal_MonthlySavings_TotalSaving__made_4">'Savings and Investments'!$V$26</definedName>
    <definedName name="Savings_Goal_Term_1">'Savings and Investments'!$D$23</definedName>
    <definedName name="Savings_Goal_Term_2">'Savings and Investments'!$D$24</definedName>
    <definedName name="Savings_Goal_Term_3">'Savings and Investments'!$D$25</definedName>
    <definedName name="Savings_Goal_Term_4">'Savings and Investments'!$D$26</definedName>
    <definedName name="Savings_goal_Total_1">'Savings and Investments'!$F$23:$S$23</definedName>
    <definedName name="Savings_goal_Total_2">'Savings and Investments'!$F$24:$S$24</definedName>
    <definedName name="Savings_goal_Total_3">'Savings and Investments'!$F$25:$S$25</definedName>
    <definedName name="Savings_goal_Total_4">'Savings and Investments'!$F$26:$S$26</definedName>
    <definedName name="Savings_Goal_Total_ValueAmount_Saved">'Savings and Investments'!$X$23:$X$26</definedName>
    <definedName name="Savings_Goal_TotalAmount_Saved_1">'Savings and Investments'!$X$23</definedName>
    <definedName name="Savings_Goal_TotalAmount_Saved_2">'Savings and Investments'!$X$24</definedName>
    <definedName name="Savings_Goal_TotalAmount_Saved_3">'Savings and Investments'!$X$25</definedName>
    <definedName name="Savings_Goal_TotalAmount_Saved_4">'Savings and Investments'!$X$26</definedName>
    <definedName name="Savings_GoalAmount_1">'Savings and Investments'!$C$23</definedName>
    <definedName name="Savings_GoalAmount_2">'Savings and Investments'!$C$24</definedName>
    <definedName name="Savings_GoalAmount_3">'Savings and Investments'!$C$25</definedName>
    <definedName name="Savings_GoalAmount_4">'Savings and Investments'!$C$26</definedName>
    <definedName name="Savings_Goals_Description">'Savings and Investments'!$B$23:$C$26</definedName>
    <definedName name="Savings_Goals_TotalAmountSaved">'Savings and Investments'!$X$27</definedName>
    <definedName name="Savings_Interest">'Savings and Investments'!$F$33:$F$36</definedName>
    <definedName name="Savings_Investmensts_MonthlySavings_AnnualSaving_1">'Savings and Investments'!$U$33</definedName>
    <definedName name="Savings_Investmensts_MonthlySavings_AnnualSaving_2">'Savings and Investments'!$U$34</definedName>
    <definedName name="Savings_Investmensts_MonthlySavings_AnnualSaving_3">'Savings and Investments'!$U$35</definedName>
    <definedName name="Savings_Investmensts_MonthlySavings_AnnualSaving_4">'Savings and Investments'!$U$36</definedName>
    <definedName name="Savings_Investments_1">'Savings and Investments'!$B$33</definedName>
    <definedName name="Savings_Investments_2">'Savings and Investments'!$B$34</definedName>
    <definedName name="Savings_Investments_3">'Savings and Investments'!$B$35</definedName>
    <definedName name="Savings_Investments_4">'Savings and Investments'!$B$36</definedName>
    <definedName name="Savings_Investments_AnnualInterest_1">'Savings and Investments'!$G$33</definedName>
    <definedName name="Savings_Investments_AnnualInterest_2">'Savings and Investments'!$G$34</definedName>
    <definedName name="Savings_Investments_AnnualInterest_3">'Savings and Investments'!$G$35</definedName>
    <definedName name="Savings_Investments_AnnualInterest_4">'Savings and Investments'!$G$36</definedName>
    <definedName name="Savings_Investments_Apr">'Apr '!$N$48:$N$51</definedName>
    <definedName name="Savings_Investments_Aug">Aug!$N$48:$N$51</definedName>
    <definedName name="Savings_Investments_Dec">Dec!$N$48:$N$51</definedName>
    <definedName name="Savings_Investments_Description">'Savings and Investments'!$B$33:$C$36</definedName>
    <definedName name="Savings_Investments_Feb">Feb!$N$48:$N$51</definedName>
    <definedName name="Savings_Investments_Jan">Jan!$N$48:$N$51</definedName>
    <definedName name="Savings_Investments_Jul">Jul!$N$48:$N$51</definedName>
    <definedName name="Savings_Investments_Jun">Jun!$N$48:$N$51</definedName>
    <definedName name="Savings_Investments_Mar">Mar!$N$48:$N$51</definedName>
    <definedName name="Savings_Investments_May">May!$N$48:$N$51</definedName>
    <definedName name="Savings_Investments_MinSavings_1">'Savings and Investments'!$E$33</definedName>
    <definedName name="Savings_Investments_MinSavings_2">'Savings and Investments'!$E$34</definedName>
    <definedName name="Savings_Investments_MinSavings_3">'Savings and Investments'!$E$35</definedName>
    <definedName name="Savings_Investments_MinSavings_4">'Savings and Investments'!$E$36</definedName>
    <definedName name="Savings_Investments_MonthlySavings_Apr_1">'Savings and Investments'!$K$33</definedName>
    <definedName name="Savings_Investments_MonthlySavings_Apr_2">'Savings and Investments'!$K$34</definedName>
    <definedName name="Savings_Investments_MonthlySavings_Apr_3">'Savings and Investments'!$K$35</definedName>
    <definedName name="Savings_Investments_MonthlySavings_Apr_4">'Savings and Investments'!$K$36</definedName>
    <definedName name="Savings_Investments_MonthlySavings_Aug_1">'Savings and Investments'!$O$33</definedName>
    <definedName name="Savings_Investments_MonthlySavings_Aug_2">'Savings and Investments'!$O$34</definedName>
    <definedName name="Savings_Investments_MonthlySavings_Aug_3">'Savings and Investments'!$O$35</definedName>
    <definedName name="Savings_Investments_MonthlySavings_Aug_4">'Savings and Investments'!$O$36</definedName>
    <definedName name="Savings_Investments_MonthlySavings_Dec_1">'Savings and Investments'!$S$33</definedName>
    <definedName name="Savings_Investments_MonthlySavings_Dec_2">'Savings and Investments'!$S$34</definedName>
    <definedName name="Savings_Investments_MonthlySavings_Dec_3">'Savings and Investments'!$S$35</definedName>
    <definedName name="Savings_Investments_MonthlySavings_Dec_4">'Savings and Investments'!$S$36</definedName>
    <definedName name="Savings_Investments_MonthlySavings_Feb_1">'Savings and Investments'!$I$33</definedName>
    <definedName name="Savings_Investments_MonthlySavings_Feb_2">'Savings and Investments'!$I$34</definedName>
    <definedName name="Savings_Investments_MonthlySavings_Feb_3">'Savings and Investments'!$I$35</definedName>
    <definedName name="Savings_Investments_MonthlySavings_Feb_4">'Savings and Investments'!$I$36</definedName>
    <definedName name="Savings_Investments_MonthlySavings_Jan_1">'Savings and Investments'!$H$33</definedName>
    <definedName name="Savings_Investments_MonthlySavings_Jan_2">'Savings and Investments'!$H$34</definedName>
    <definedName name="Savings_Investments_MonthlySavings_Jan_3">'Savings and Investments'!$H$35</definedName>
    <definedName name="Savings_Investments_MonthlySavings_Jan_4">'Savings and Investments'!$H$36</definedName>
    <definedName name="Savings_Investments_MonthlySavings_Jul_1">'Savings and Investments'!$N$33</definedName>
    <definedName name="Savings_Investments_MonthlySavings_Jul_2">'Savings and Investments'!$N$34</definedName>
    <definedName name="Savings_Investments_MonthlySavings_Jul_3">'Savings and Investments'!$N$35</definedName>
    <definedName name="Savings_Investments_MonthlySavings_Jul_4">'Savings and Investments'!$N$36</definedName>
    <definedName name="Savings_Investments_MonthlySavings_Jun_1">'Savings and Investments'!$M$33</definedName>
    <definedName name="Savings_Investments_MonthlySavings_Jun_2">'Savings and Investments'!$M$34</definedName>
    <definedName name="Savings_Investments_MonthlySavings_Jun_3">'Savings and Investments'!$M$35</definedName>
    <definedName name="Savings_Investments_MonthlySavings_Jun_4">'Savings and Investments'!$M$36</definedName>
    <definedName name="Savings_Investments_MonthlySavings_Mar_1">'Savings and Investments'!$J$33</definedName>
    <definedName name="Savings_Investments_MonthlySavings_Mar_2">'Savings and Investments'!$J$34</definedName>
    <definedName name="Savings_Investments_MonthlySavings_Mar_3">'Savings and Investments'!$J$35</definedName>
    <definedName name="Savings_Investments_MonthlySavings_Mar_4">'Savings and Investments'!$J$36</definedName>
    <definedName name="Savings_Investments_MonthlySavings_May_1">'Savings and Investments'!$L$33</definedName>
    <definedName name="Savings_Investments_MonthlySavings_May_2">'Savings and Investments'!$L$34</definedName>
    <definedName name="Savings_Investments_MonthlySavings_May_3">'Savings and Investments'!$L$35</definedName>
    <definedName name="Savings_Investments_MonthlySavings_May_4">'Savings and Investments'!$L$36</definedName>
    <definedName name="Savings_Investments_MonthlySavings_Nov_1">'Savings and Investments'!$R$33</definedName>
    <definedName name="Savings_Investments_MonthlySavings_Nov_2">'Savings and Investments'!$R$34</definedName>
    <definedName name="Savings_Investments_MonthlySavings_Nov_3">'Savings and Investments'!$R$35</definedName>
    <definedName name="Savings_Investments_MonthlySavings_Nov_4">'Savings and Investments'!$R$36</definedName>
    <definedName name="Savings_Investments_MonthlySavings_Oct_1">'Savings and Investments'!$Q$33</definedName>
    <definedName name="Savings_Investments_MonthlySavings_Oct_2">'Savings and Investments'!$Q$34</definedName>
    <definedName name="Savings_Investments_MonthlySavings_Oct_3">'Savings and Investments'!$Q$35</definedName>
    <definedName name="Savings_Investments_MonthlySavings_Oct_4">'Savings and Investments'!$Q$36</definedName>
    <definedName name="Savings_Investments_MonthlySavings_PercGoal_1">'Savings and Investments'!$T$33</definedName>
    <definedName name="Savings_Investments_MonthlySavings_PercGoal_2">'Savings and Investments'!$T$34</definedName>
    <definedName name="Savings_Investments_MonthlySavings_PercGoal_3">'Savings and Investments'!$T$35</definedName>
    <definedName name="Savings_Investments_MonthlySavings_PercGoal_4">'Savings and Investments'!$T$36</definedName>
    <definedName name="Savings_Investments_MonthlySavings_Sep_1">'Savings and Investments'!$P$33</definedName>
    <definedName name="Savings_Investments_MonthlySavings_Sep_2">'Savings and Investments'!$P$34</definedName>
    <definedName name="Savings_Investments_MonthlySavings_Sep_3">'Savings and Investments'!$P$35</definedName>
    <definedName name="Savings_Investments_MonthlySavings_Sep_4">'Savings and Investments'!$P$36</definedName>
    <definedName name="Savings_Investments_MonthlySavings_Total_Value_Saving__1">'Savings and Investments'!$W$33</definedName>
    <definedName name="Savings_Investments_MonthlySavings_Total_Value_Saving__2">'Savings and Investments'!$W$34</definedName>
    <definedName name="Savings_Investments_MonthlySavings_Total_Value_Saving__3">'Savings and Investments'!$W$35</definedName>
    <definedName name="Savings_Investments_MonthlySavings_Total_Value_Saving__4">'Savings and Investments'!$W$36</definedName>
    <definedName name="Savings_Investments_MonthlySavings_TotalSaving__made_1">'Savings and Investments'!$V$33</definedName>
    <definedName name="Savings_Investments_MonthlySavings_TotalSaving__made_2">'Savings and Investments'!$V$34</definedName>
    <definedName name="Savings_Investments_MonthlySavings_TotalSaving__made_3">'Savings and Investments'!$V$35</definedName>
    <definedName name="Savings_Investments_MonthlySavings_TotalSaving__made_4">'Savings and Investments'!$V$36</definedName>
    <definedName name="Savings_Investments_Nov">Nov!$N$48:$N$51</definedName>
    <definedName name="Savings_Investments_Oct">Oct!$N$48:$N$51</definedName>
    <definedName name="Savings_Investments_SavingTerm">'Savings and Investments'!$D$33:$D$36</definedName>
    <definedName name="Savings_Investments_Sep">Sep!$N$48:$N$51</definedName>
    <definedName name="Savings_Investments_Total_ValueAmount_Saved">'Savings and Investments'!$X$33:$X$36</definedName>
    <definedName name="Savings_Investments_TotalAmount_Saved_1">'Savings and Investments'!$X$33</definedName>
    <definedName name="Savings_Investments_TotalAmount_Saved_2">'Savings and Investments'!$X$34</definedName>
    <definedName name="Savings_Investments_TotalAmount_Saved_3">'Savings and Investments'!$X$35</definedName>
    <definedName name="Savings_Investments_TotalAmount_Saved_4">'Savings and Investments'!$X$36</definedName>
    <definedName name="Savings_Investments_TotalAmountSaved">'Savings and Investments'!$X$37</definedName>
    <definedName name="Savings_Investments_YEARLY">YEARLY!$N$48:$N$51</definedName>
    <definedName name="Savings_InvestmentsAmount_1">'Savings and Investments'!$C$33</definedName>
    <definedName name="Savings_InvestmentsAmount_2">'Savings and Investments'!$C$34</definedName>
    <definedName name="Savings_InvestmentsAmount_3">'Savings and Investments'!$C$35</definedName>
    <definedName name="Savings_InvestmentsAmount_4">'Savings and Investments'!$C$36</definedName>
    <definedName name="Savings_InvestmentsInterest_1">'Savings and Investments'!$F$33</definedName>
    <definedName name="Savings_InvestmentsInterest_2">'Savings and Investments'!$F$34</definedName>
    <definedName name="Savings_InvestmentsInterest_3">'Savings and Investments'!$F$35</definedName>
    <definedName name="Savings_InvestmentsInterest_4">'Savings and Investments'!$F$36</definedName>
    <definedName name="Savings_InvestmentsTerm_1">'Savings and Investments'!$D$33</definedName>
    <definedName name="Savings_InvestmentsTerm_2">'Savings and Investments'!$D$34</definedName>
    <definedName name="Savings_InvestmentsTerm_3">'Savings and Investments'!$D$35</definedName>
    <definedName name="Savings_InvestmentsTerm_4">'Savings and Investments'!$D$36</definedName>
    <definedName name="Savings_Min_Annual">YEARLY!$M$48:$M$51</definedName>
    <definedName name="Savings_Name_1" localSheetId="5">#REF!</definedName>
    <definedName name="Savings_Name_1" localSheetId="9">#REF!</definedName>
    <definedName name="Savings_Name_1" localSheetId="13">#REF!</definedName>
    <definedName name="Savings_Name_1" localSheetId="3">#REF!</definedName>
    <definedName name="Savings_Name_1" localSheetId="0">#REF!</definedName>
    <definedName name="Savings_Name_1" localSheetId="8">#REF!</definedName>
    <definedName name="Savings_Name_1" localSheetId="7">#REF!</definedName>
    <definedName name="Savings_Name_1" localSheetId="4">#REF!</definedName>
    <definedName name="Savings_Name_1" localSheetId="6">#REF!</definedName>
    <definedName name="Savings_Name_1" localSheetId="1">#REF!</definedName>
    <definedName name="Savings_Name_1" localSheetId="12">#REF!</definedName>
    <definedName name="Savings_Name_1" localSheetId="11">#REF!</definedName>
    <definedName name="Savings_Name_1" localSheetId="10">#REF!</definedName>
    <definedName name="Savings_Name_1" localSheetId="14">#REF!</definedName>
    <definedName name="Savings_Name_1">#REF!</definedName>
    <definedName name="Savings_Name_1_Feb" localSheetId="5">#REF!</definedName>
    <definedName name="Savings_Name_1_Feb" localSheetId="9">#REF!</definedName>
    <definedName name="Savings_Name_1_Feb" localSheetId="13">#REF!</definedName>
    <definedName name="Savings_Name_1_Feb" localSheetId="3">#REF!</definedName>
    <definedName name="Savings_Name_1_Feb" localSheetId="0">#REF!</definedName>
    <definedName name="Savings_Name_1_Feb" localSheetId="8">#REF!</definedName>
    <definedName name="Savings_Name_1_Feb" localSheetId="7">#REF!</definedName>
    <definedName name="Savings_Name_1_Feb" localSheetId="4">#REF!</definedName>
    <definedName name="Savings_Name_1_Feb" localSheetId="6">#REF!</definedName>
    <definedName name="Savings_Name_1_Feb" localSheetId="1">#REF!</definedName>
    <definedName name="Savings_Name_1_Feb" localSheetId="12">#REF!</definedName>
    <definedName name="Savings_Name_1_Feb" localSheetId="11">#REF!</definedName>
    <definedName name="Savings_Name_1_Feb" localSheetId="10">#REF!</definedName>
    <definedName name="Savings_Name_1_Feb" localSheetId="14">#REF!</definedName>
    <definedName name="Savings_Name_1_Feb">#REF!</definedName>
    <definedName name="Savings_TotalValue_MonthlySavings_Total_Value_Saving__2">'Savings and Investments'!$W$27</definedName>
    <definedName name="SavingsInvestmensts_1_Monthly_Savings">'Savings and Investments'!$H$33:$S$33</definedName>
    <definedName name="SavingsInvestmensts_2_Monthly_Savings">'Savings and Investments'!$H$34:$S$34</definedName>
    <definedName name="SavingsInvestmensts_3_Monthly_Savings">'Savings and Investments'!$H$35:$S$35</definedName>
    <definedName name="SavingsInvestmensts_4_Monthly_Savings">'Savings and Investments'!$H$36:$S$36</definedName>
    <definedName name="SavingsInvestment_AnnualInterest">'Savings and Investments'!$G$33:$G$36</definedName>
    <definedName name="SavingsInvestment_AnnualSavings">'Savings and Investments'!$U$33:$U$36</definedName>
    <definedName name="SavingsInvestment_Total_ValueSavings">'Savings and Investments'!$W$33:$W$36</definedName>
    <definedName name="SavingsInvestments_Apr_SubTotal">'Savings and Investments'!$K$37</definedName>
    <definedName name="SavingsInvestments_Aug_SubTotal">'Savings and Investments'!$O$37</definedName>
    <definedName name="SavingsInvestments_AugSavings">'Savings and Investments'!$O$33:$O$36</definedName>
    <definedName name="SavingsInvestments_Dec_SubTotal">'Savings and Investments'!$S$37</definedName>
    <definedName name="SavingsInvestments_DecSavings">'Savings and Investments'!$S$33:$S$36</definedName>
    <definedName name="SavingsInvestments_Feb_SubTotal">'Savings and Investments'!$I$37</definedName>
    <definedName name="SavingsInvestments_FebSavings">'Savings and Investments'!$I$33:$I$36</definedName>
    <definedName name="SavingsInvestments_GA">'Savings and Investments'!$C$37</definedName>
    <definedName name="SavingsInvestments_Jan_SubTotal">'Savings and Investments'!$H$37</definedName>
    <definedName name="SavingsInvestments_JanSavings">'Savings and Investments'!$H$33:$H$36</definedName>
    <definedName name="SavingsInvestments_JAprSavings">'Savings and Investments'!$K$33:$K$36</definedName>
    <definedName name="SavingsInvestments_Jul_SubTotal">'Savings and Investments'!$N$37</definedName>
    <definedName name="SavingsInvestments_JulSavings">'Savings and Investments'!$N$33:$N$36</definedName>
    <definedName name="SavingsInvestments_Jun_SubTotal">'Savings and Investments'!$M$37</definedName>
    <definedName name="SavingsInvestments_JunSavings">'Savings and Investments'!$M$33:$M$36</definedName>
    <definedName name="SavingsInvestments_Mar_SubTotal">'Savings and Investments'!$J$37</definedName>
    <definedName name="SavingsInvestments_MarSavings">'Savings and Investments'!$J$33:$J$36</definedName>
    <definedName name="SavingsInvestments_May_SubTotal">'Savings and Investments'!$L$37</definedName>
    <definedName name="SavingsInvestments_MaySavings">'Savings and Investments'!$L$33:$L$36</definedName>
    <definedName name="SavingsInvestments_Nov_SubTotal">'Savings and Investments'!$R$37</definedName>
    <definedName name="SavingsInvestments_NovSavings">'Savings and Investments'!$R$33:$R$36</definedName>
    <definedName name="SavingsInvestments_Oct_SubTotal">'Savings and Investments'!$Q$37</definedName>
    <definedName name="SavingsInvestments_OctSavings">'Savings and Investments'!$Q$33:$Q$36</definedName>
    <definedName name="SavingsInvestments_Sep_SubTotal">'Savings and Investments'!$P$37</definedName>
    <definedName name="SavingsInvestments_SepSavings">'Savings and Investments'!$P$33:$P$36</definedName>
    <definedName name="SavingsInvestments_SubTotals">'Savings and Investments'!$H$37:$S$37</definedName>
    <definedName name="SavingsInvestments_Total_AnnualSavings">'Savings and Investments'!$U$37</definedName>
    <definedName name="SavingsInvestments_Total_perc_To_Goal">'Savings and Investments'!$T$37</definedName>
    <definedName name="SavingsInvestments_TotalValue_MonthlySavings_Total_Value_Saving__2">'Savings and Investments'!$W$37</definedName>
    <definedName name="Total_Amount_Paid_Formal">'Financial Scorecard'!$X$23:$X$30</definedName>
    <definedName name="Total_Amount_Paid_Friends_family">'Financial Scorecard'!$X$42:$X$46</definedName>
    <definedName name="Total_Amount_Paid_Informal">'Financial Scorecard'!$X$34:$X$38</definedName>
    <definedName name="Total_Amount_to_be_Paid_formal">'Financial Scorecard'!$V$23:$V$30</definedName>
    <definedName name="Total_Amount_to_be_Paid_Friends_family">'Financial Scorecard'!$V$42:$V$46</definedName>
    <definedName name="Total_Amount_to_be_Paid_Informal">'Financial Scorecard'!$V$34:$V$38</definedName>
    <definedName name="Total_Cost_of_Credit_formal">'Financial Scorecard'!$W$23:$W$30</definedName>
    <definedName name="Total_Cost_of_Credit_Friends_family">'Financial Scorecard'!$W$42:$W$46</definedName>
    <definedName name="Total_Cost_of_Credit_Informal">'Financial Scorecard'!$W$34:$W$38</definedName>
    <definedName name="TOTAL_DEDUCTIONS">Jan!$Y$47</definedName>
    <definedName name="TOTAL_DEDUCTIONS_Aug">Aug!$Y$47</definedName>
    <definedName name="TOTAL_DEDUCTIONS_Dec">Dec!$Y$47</definedName>
    <definedName name="TOTAL_DEDUCTIONS_Feb">Feb!$Y$47</definedName>
    <definedName name="TOTAL_DEDUCTIONS_Jul">Jul!$Y$47</definedName>
    <definedName name="TOTAL_DEDUCTIONS_Jun">Jun!$Y$47</definedName>
    <definedName name="TOTAL_DEDUCTIONS_May">May!$Y$47</definedName>
    <definedName name="TOTAL_DEDUCTIONS_Nov">Nov!$Y$47</definedName>
    <definedName name="TOTAL_DEDUCTIONS_Oct">Oct!$Y$47</definedName>
    <definedName name="TOTAL_DEDUCTIONS_Sep">Sep!$Y$47</definedName>
    <definedName name="TOTAL_DEDUCTIONS_YEARLY">YEARLY!$Y$47</definedName>
    <definedName name="Total_Expenses_Apr">'Apr '!$I$53</definedName>
    <definedName name="Total_Expenses_Aug">Aug!$I$53</definedName>
    <definedName name="Total_Expenses_Budgeted_Apr">'Apr '!$H$53</definedName>
    <definedName name="Total_Expenses_Budgeted_Aug">Aug!$H$53</definedName>
    <definedName name="Total_Expenses_Budgeted_Dec">Dec!$H$53</definedName>
    <definedName name="Total_Expenses_Budgeted_Feb">Feb!$H$53</definedName>
    <definedName name="Total_Expenses_Budgeted_Jan">Jan!$H$53</definedName>
    <definedName name="Total_Expenses_Budgeted_Jul">Jul!$H$53</definedName>
    <definedName name="Total_Expenses_Budgeted_Jun">Jun!$H$53</definedName>
    <definedName name="Total_Expenses_Budgeted_Mar">Mar!$H$53</definedName>
    <definedName name="Total_Expenses_Budgeted_May">May!$H$53</definedName>
    <definedName name="Total_Expenses_Budgeted_Nov">Nov!$H$53</definedName>
    <definedName name="Total_Expenses_Budgeted_Oct">Oct!$H$53</definedName>
    <definedName name="Total_Expenses_Budgeted_Sep">Sep!$H$53</definedName>
    <definedName name="Total_Expenses_Dec">Dec!$I$53</definedName>
    <definedName name="Total_Expenses_Feb">Feb!$I$53</definedName>
    <definedName name="Total_Expenses_Jan" localSheetId="5">'Apr '!$I$53</definedName>
    <definedName name="Total_Expenses_Jan" localSheetId="9">Aug!$I$53</definedName>
    <definedName name="Total_Expenses_Jan" localSheetId="13">Dec!$I$53</definedName>
    <definedName name="Total_Expenses_Jan" localSheetId="3">Feb!$I$53</definedName>
    <definedName name="Total_Expenses_Jan">Jan!$I$53</definedName>
    <definedName name="Total_Expenses_Jul">Jul!$I$53</definedName>
    <definedName name="Total_Expenses_Jun">Jun!$I$53</definedName>
    <definedName name="Total_Expenses_Mar">Mar!$I$53</definedName>
    <definedName name="Total_Expenses_May">May!$I$53</definedName>
    <definedName name="Total_Expenses_Nov">Nov!$I$53</definedName>
    <definedName name="Total_Expenses_Oct">Oct!$I$53</definedName>
    <definedName name="Total_Expenses_Sep">Sep!$I$53</definedName>
    <definedName name="Total_Expenses_YEARLY">YEARLY!$I$53</definedName>
    <definedName name="Total_Income_Actual_Apr">'Apr '!$D$50</definedName>
    <definedName name="Total_Income_Actual_Aug">Aug!$D$50</definedName>
    <definedName name="Total_Income_Actual_Dec">Dec!$D$50</definedName>
    <definedName name="Total_Income_Actual_Feb">Feb!$D$50</definedName>
    <definedName name="Total_Income_Actual_Jan" localSheetId="5">'Apr '!$D$50</definedName>
    <definedName name="Total_Income_Actual_Jan" localSheetId="9">Aug!$D$50</definedName>
    <definedName name="Total_Income_Actual_Jan" localSheetId="13">Dec!$D$50</definedName>
    <definedName name="Total_Income_Actual_Jan" localSheetId="3">Feb!$D$50</definedName>
    <definedName name="Total_Income_Actual_Jan">Jan!$D$50</definedName>
    <definedName name="Total_Income_Actual_Jul">Jul!$D$50</definedName>
    <definedName name="Total_Income_Actual_Jun">Jun!$D$50</definedName>
    <definedName name="Total_Income_Actual_Mar">Mar!$D$50</definedName>
    <definedName name="Total_Income_Actual_May">May!$D$50</definedName>
    <definedName name="Total_Income_Actual_Nov">Nov!$D$50</definedName>
    <definedName name="Total_Income_Actual_Oct">Oct!$D$50</definedName>
    <definedName name="Total_Income_Actual_Sep">Sep!$D$50</definedName>
    <definedName name="Total_Income_Actual_YEARLY">YEARLY!$D$50</definedName>
    <definedName name="Total_Income_Budgeted_Apr">'Apr '!$C$50</definedName>
    <definedName name="Total_Income_Budgeted_Aug">Aug!$C$50</definedName>
    <definedName name="Total_Income_Budgeted_Dec">Dec!$C$50</definedName>
    <definedName name="Total_Income_Budgeted_Feb">Feb!$C$50</definedName>
    <definedName name="Total_Income_Budgeted_Jan">Jan!$C$50</definedName>
    <definedName name="Total_Income_Budgeted_Jul">Jul!$C$50</definedName>
    <definedName name="Total_Income_Budgeted_Jun">Jun!$C$50</definedName>
    <definedName name="Total_Income_Budgeted_Mar">Mar!$C$50</definedName>
    <definedName name="Total_Income_Budgeted_May">May!$C$50</definedName>
    <definedName name="Total_Income_Budgeted_Nov">Nov!$C$50</definedName>
    <definedName name="Total_Income_Budgeted_Oct">Oct!$C$50</definedName>
    <definedName name="Total_Income_Budgeted_Sep">Sep!$C$50</definedName>
    <definedName name="Total_Income_Budgeted_YEARLY">YEARLY!$C$50</definedName>
    <definedName name="TOTAL_MarDEDUCTIONS">Mar!$Y$48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4" l="1"/>
  <c r="C50" i="14" l="1"/>
  <c r="C50" i="12"/>
  <c r="J47" i="4"/>
  <c r="J31" i="4"/>
  <c r="P31" i="4"/>
  <c r="O31" i="4"/>
  <c r="N31" i="4"/>
  <c r="M31" i="4"/>
  <c r="R31" i="18" l="1"/>
  <c r="T31" i="18" s="1"/>
  <c r="T27" i="18"/>
  <c r="T28" i="18"/>
  <c r="F31" i="18"/>
  <c r="H31" i="18" s="1"/>
  <c r="H27" i="18"/>
  <c r="H28" i="18"/>
  <c r="O32" i="18" l="1"/>
  <c r="P32" i="18"/>
  <c r="D32" i="18"/>
  <c r="C32" i="18"/>
  <c r="E32" i="18" l="1"/>
  <c r="F32" i="18" s="1"/>
  <c r="H32" i="18" s="1"/>
  <c r="C33" i="18" s="1"/>
  <c r="Q32" i="18"/>
  <c r="R32" i="18" s="1"/>
  <c r="T32" i="18" s="1"/>
  <c r="P33" i="18" s="1"/>
  <c r="I52" i="16"/>
  <c r="I51" i="16"/>
  <c r="I50" i="16"/>
  <c r="I49" i="16"/>
  <c r="I48" i="16"/>
  <c r="I47" i="16"/>
  <c r="I46" i="16"/>
  <c r="I45" i="16"/>
  <c r="I44" i="16"/>
  <c r="I43" i="16"/>
  <c r="I42" i="16"/>
  <c r="H52" i="16"/>
  <c r="H51" i="16"/>
  <c r="H50" i="16"/>
  <c r="H49" i="16"/>
  <c r="H48" i="16"/>
  <c r="H47" i="16"/>
  <c r="H46" i="16"/>
  <c r="H45" i="16"/>
  <c r="H44" i="16"/>
  <c r="H43" i="16"/>
  <c r="H42" i="16"/>
  <c r="U61" i="16"/>
  <c r="U60" i="16"/>
  <c r="U59" i="16"/>
  <c r="U58" i="16"/>
  <c r="U57" i="16"/>
  <c r="U56" i="16"/>
  <c r="U55" i="16"/>
  <c r="U54" i="16"/>
  <c r="U53" i="16"/>
  <c r="U52" i="16"/>
  <c r="U51" i="16"/>
  <c r="N47" i="17"/>
  <c r="N42" i="17"/>
  <c r="D49" i="16"/>
  <c r="D48" i="16"/>
  <c r="D47" i="16"/>
  <c r="D46" i="16"/>
  <c r="D45" i="16"/>
  <c r="D44" i="16"/>
  <c r="D43" i="16"/>
  <c r="D42" i="16"/>
  <c r="C49" i="16"/>
  <c r="C48" i="16"/>
  <c r="C47" i="16"/>
  <c r="C46" i="16"/>
  <c r="C45" i="16"/>
  <c r="C44" i="16"/>
  <c r="C43" i="16"/>
  <c r="C42" i="16"/>
  <c r="D33" i="18" l="1"/>
  <c r="O33" i="18"/>
  <c r="Q33" i="18" s="1"/>
  <c r="R33" i="18" s="1"/>
  <c r="T33" i="18" s="1"/>
  <c r="D50" i="16"/>
  <c r="B30" i="16" s="1"/>
  <c r="C50" i="16"/>
  <c r="V52" i="16"/>
  <c r="Y52" i="16"/>
  <c r="X54" i="16"/>
  <c r="W54" i="16"/>
  <c r="W51" i="16"/>
  <c r="X51" i="16"/>
  <c r="Y53" i="16"/>
  <c r="V53" i="16"/>
  <c r="X55" i="16"/>
  <c r="W55" i="16"/>
  <c r="W57" i="16"/>
  <c r="X57" i="16"/>
  <c r="Y55" i="16"/>
  <c r="V55" i="16"/>
  <c r="Y57" i="16"/>
  <c r="V57" i="16"/>
  <c r="V60" i="16"/>
  <c r="Y60" i="16"/>
  <c r="X56" i="16"/>
  <c r="W56" i="16"/>
  <c r="X58" i="16"/>
  <c r="W58" i="16"/>
  <c r="W61" i="16"/>
  <c r="X61" i="16"/>
  <c r="Y59" i="16"/>
  <c r="V59" i="16"/>
  <c r="W53" i="16"/>
  <c r="X53" i="16"/>
  <c r="V54" i="16"/>
  <c r="Y54" i="16"/>
  <c r="Y51" i="16"/>
  <c r="V51" i="16"/>
  <c r="W60" i="16"/>
  <c r="X60" i="16"/>
  <c r="V56" i="16"/>
  <c r="Y56" i="16"/>
  <c r="Y58" i="16"/>
  <c r="V58" i="16"/>
  <c r="Y61" i="16"/>
  <c r="V61" i="16"/>
  <c r="W52" i="16"/>
  <c r="X52" i="16"/>
  <c r="W59" i="16"/>
  <c r="X59" i="16"/>
  <c r="E33" i="18"/>
  <c r="F33" i="18" s="1"/>
  <c r="H33" i="18" s="1"/>
  <c r="I53" i="16"/>
  <c r="G32" i="16" s="1"/>
  <c r="H53" i="16"/>
  <c r="Y61" i="15"/>
  <c r="Y60" i="15"/>
  <c r="Y59" i="15"/>
  <c r="Y58" i="15"/>
  <c r="Y57" i="15"/>
  <c r="Y56" i="15"/>
  <c r="Y55" i="15"/>
  <c r="Y54" i="15"/>
  <c r="Y53" i="15"/>
  <c r="Y52" i="15"/>
  <c r="Y51" i="15"/>
  <c r="X61" i="15"/>
  <c r="X60" i="15"/>
  <c r="X59" i="15"/>
  <c r="X58" i="15"/>
  <c r="X57" i="15"/>
  <c r="X56" i="15"/>
  <c r="X55" i="15"/>
  <c r="X54" i="15"/>
  <c r="X53" i="15"/>
  <c r="X52" i="15"/>
  <c r="X51" i="15"/>
  <c r="W61" i="15"/>
  <c r="W60" i="15"/>
  <c r="W59" i="15"/>
  <c r="W58" i="15"/>
  <c r="W57" i="15"/>
  <c r="W56" i="15"/>
  <c r="W55" i="15"/>
  <c r="W54" i="15"/>
  <c r="W53" i="15"/>
  <c r="W52" i="15"/>
  <c r="W51" i="15"/>
  <c r="V61" i="15"/>
  <c r="V60" i="15"/>
  <c r="V59" i="15"/>
  <c r="V58" i="15"/>
  <c r="V57" i="15"/>
  <c r="V56" i="15"/>
  <c r="V55" i="15"/>
  <c r="V54" i="15"/>
  <c r="V53" i="15"/>
  <c r="V52" i="15"/>
  <c r="V51" i="15"/>
  <c r="U61" i="15"/>
  <c r="U60" i="15"/>
  <c r="U59" i="15"/>
  <c r="U58" i="15"/>
  <c r="U57" i="15"/>
  <c r="U56" i="15"/>
  <c r="U55" i="15"/>
  <c r="U54" i="15"/>
  <c r="U53" i="15"/>
  <c r="U52" i="15"/>
  <c r="U51" i="15"/>
  <c r="N42" i="15"/>
  <c r="N51" i="15"/>
  <c r="N50" i="15"/>
  <c r="N49" i="15"/>
  <c r="N48" i="15"/>
  <c r="N47" i="15"/>
  <c r="N46" i="15"/>
  <c r="N45" i="15"/>
  <c r="N44" i="15"/>
  <c r="N43" i="15"/>
  <c r="I53" i="15"/>
  <c r="G32" i="15" s="1"/>
  <c r="H53" i="15"/>
  <c r="D50" i="15"/>
  <c r="C50" i="15"/>
  <c r="Y61" i="14"/>
  <c r="Y60" i="14"/>
  <c r="Y59" i="14"/>
  <c r="Y58" i="14"/>
  <c r="Y57" i="14"/>
  <c r="Y56" i="14"/>
  <c r="Y55" i="14"/>
  <c r="Y54" i="14"/>
  <c r="Y53" i="14"/>
  <c r="Y52" i="14"/>
  <c r="Y51" i="14"/>
  <c r="X61" i="14"/>
  <c r="X60" i="14"/>
  <c r="X59" i="14"/>
  <c r="X58" i="14"/>
  <c r="X57" i="14"/>
  <c r="X56" i="14"/>
  <c r="X55" i="14"/>
  <c r="X54" i="14"/>
  <c r="X53" i="14"/>
  <c r="X52" i="14"/>
  <c r="X51" i="14"/>
  <c r="W61" i="14"/>
  <c r="W60" i="14"/>
  <c r="W59" i="14"/>
  <c r="W58" i="14"/>
  <c r="W57" i="14"/>
  <c r="W56" i="14"/>
  <c r="W55" i="14"/>
  <c r="W54" i="14"/>
  <c r="W53" i="14"/>
  <c r="W52" i="14"/>
  <c r="W51" i="14"/>
  <c r="V61" i="14"/>
  <c r="V60" i="14"/>
  <c r="V59" i="14"/>
  <c r="V58" i="14"/>
  <c r="V57" i="14"/>
  <c r="V56" i="14"/>
  <c r="V55" i="14"/>
  <c r="V54" i="14"/>
  <c r="V53" i="14"/>
  <c r="V52" i="14"/>
  <c r="V51" i="14"/>
  <c r="U61" i="14"/>
  <c r="U60" i="14"/>
  <c r="U59" i="14"/>
  <c r="U58" i="14"/>
  <c r="U57" i="14"/>
  <c r="U56" i="14"/>
  <c r="U55" i="14"/>
  <c r="U54" i="14"/>
  <c r="U53" i="14"/>
  <c r="U52" i="14"/>
  <c r="U51" i="14"/>
  <c r="N46" i="14"/>
  <c r="N45" i="14"/>
  <c r="N44" i="14"/>
  <c r="N43" i="14"/>
  <c r="N42" i="14"/>
  <c r="N51" i="14"/>
  <c r="N50" i="14"/>
  <c r="N49" i="14"/>
  <c r="N48" i="14"/>
  <c r="N47" i="14"/>
  <c r="I53" i="14"/>
  <c r="G32" i="14" s="1"/>
  <c r="H53" i="14"/>
  <c r="D50" i="14"/>
  <c r="Y61" i="13"/>
  <c r="Y60" i="13"/>
  <c r="Y59" i="13"/>
  <c r="Y58" i="13"/>
  <c r="Y57" i="13"/>
  <c r="Y56" i="13"/>
  <c r="Y55" i="13"/>
  <c r="Y54" i="13"/>
  <c r="Y53" i="13"/>
  <c r="Y52" i="13"/>
  <c r="Y51" i="13"/>
  <c r="X61" i="13"/>
  <c r="X60" i="13"/>
  <c r="X59" i="13"/>
  <c r="X58" i="13"/>
  <c r="X57" i="13"/>
  <c r="X56" i="13"/>
  <c r="X55" i="13"/>
  <c r="X54" i="13"/>
  <c r="X53" i="13"/>
  <c r="X52" i="13"/>
  <c r="X51" i="13"/>
  <c r="W61" i="13"/>
  <c r="W60" i="13"/>
  <c r="W59" i="13"/>
  <c r="W58" i="13"/>
  <c r="W57" i="13"/>
  <c r="W56" i="13"/>
  <c r="W55" i="13"/>
  <c r="W54" i="13"/>
  <c r="W53" i="13"/>
  <c r="W52" i="13"/>
  <c r="W51" i="13"/>
  <c r="V61" i="13"/>
  <c r="V60" i="13"/>
  <c r="V59" i="13"/>
  <c r="V58" i="13"/>
  <c r="V57" i="13"/>
  <c r="V56" i="13"/>
  <c r="V55" i="13"/>
  <c r="V54" i="13"/>
  <c r="V53" i="13"/>
  <c r="V52" i="13"/>
  <c r="V51" i="13"/>
  <c r="U51" i="13"/>
  <c r="U52" i="13"/>
  <c r="N47" i="13"/>
  <c r="N51" i="13"/>
  <c r="N50" i="13"/>
  <c r="N49" i="13"/>
  <c r="N48" i="13"/>
  <c r="N42" i="13"/>
  <c r="N46" i="13"/>
  <c r="N45" i="13"/>
  <c r="N44" i="13"/>
  <c r="N43" i="13"/>
  <c r="I53" i="13"/>
  <c r="G32" i="13" s="1"/>
  <c r="H53" i="13"/>
  <c r="D50" i="13"/>
  <c r="C50" i="13"/>
  <c r="Y61" i="12"/>
  <c r="Y60" i="12"/>
  <c r="Y59" i="12"/>
  <c r="Y58" i="12"/>
  <c r="Y57" i="12"/>
  <c r="Y56" i="12"/>
  <c r="Y55" i="12"/>
  <c r="Y54" i="12"/>
  <c r="Y53" i="12"/>
  <c r="Y52" i="12"/>
  <c r="Y51" i="12"/>
  <c r="X61" i="12"/>
  <c r="X60" i="12"/>
  <c r="X59" i="12"/>
  <c r="X58" i="12"/>
  <c r="X57" i="12"/>
  <c r="X56" i="12"/>
  <c r="X55" i="12"/>
  <c r="X54" i="12"/>
  <c r="X53" i="12"/>
  <c r="X52" i="12"/>
  <c r="X51" i="12"/>
  <c r="W61" i="12"/>
  <c r="W60" i="12"/>
  <c r="W59" i="12"/>
  <c r="W58" i="12"/>
  <c r="W57" i="12"/>
  <c r="W56" i="12"/>
  <c r="W55" i="12"/>
  <c r="W54" i="12"/>
  <c r="W53" i="12"/>
  <c r="W52" i="12"/>
  <c r="W51" i="12"/>
  <c r="V61" i="12"/>
  <c r="V60" i="12"/>
  <c r="V59" i="12"/>
  <c r="V58" i="12"/>
  <c r="V57" i="12"/>
  <c r="V56" i="12"/>
  <c r="V55" i="12"/>
  <c r="V54" i="12"/>
  <c r="V53" i="12"/>
  <c r="V52" i="12"/>
  <c r="V51" i="12"/>
  <c r="U61" i="12"/>
  <c r="U60" i="12"/>
  <c r="U59" i="12"/>
  <c r="U58" i="12"/>
  <c r="U57" i="12"/>
  <c r="U56" i="12"/>
  <c r="U55" i="12"/>
  <c r="U54" i="12"/>
  <c r="U53" i="12"/>
  <c r="U52" i="12"/>
  <c r="U51" i="12"/>
  <c r="N47" i="12"/>
  <c r="N51" i="12"/>
  <c r="N50" i="12"/>
  <c r="N49" i="12"/>
  <c r="N48" i="12"/>
  <c r="N46" i="12"/>
  <c r="N45" i="12"/>
  <c r="N44" i="12"/>
  <c r="N43" i="12"/>
  <c r="N42" i="12"/>
  <c r="I53" i="12"/>
  <c r="G32" i="12" s="1"/>
  <c r="H53" i="12"/>
  <c r="D50" i="12"/>
  <c r="Y61" i="11"/>
  <c r="Y60" i="11"/>
  <c r="Y59" i="11"/>
  <c r="Y58" i="11"/>
  <c r="Y57" i="11"/>
  <c r="Y56" i="11"/>
  <c r="Y55" i="11"/>
  <c r="Y54" i="11"/>
  <c r="Y53" i="11"/>
  <c r="Y52" i="11"/>
  <c r="Y51" i="11"/>
  <c r="U61" i="11"/>
  <c r="U60" i="11"/>
  <c r="U59" i="11"/>
  <c r="U58" i="11"/>
  <c r="U57" i="11"/>
  <c r="U56" i="11"/>
  <c r="U55" i="11"/>
  <c r="U54" i="11"/>
  <c r="U53" i="11"/>
  <c r="U52" i="11"/>
  <c r="X61" i="11"/>
  <c r="X60" i="11"/>
  <c r="X59" i="11"/>
  <c r="X58" i="11"/>
  <c r="X57" i="11"/>
  <c r="X54" i="11"/>
  <c r="X56" i="11"/>
  <c r="X55" i="11"/>
  <c r="X53" i="11"/>
  <c r="X52" i="11"/>
  <c r="X51" i="11"/>
  <c r="W54" i="11"/>
  <c r="W59" i="11"/>
  <c r="W58" i="11"/>
  <c r="W57" i="11"/>
  <c r="W56" i="11"/>
  <c r="W55" i="11"/>
  <c r="W53" i="11"/>
  <c r="W52" i="11"/>
  <c r="W51" i="11"/>
  <c r="W60" i="11"/>
  <c r="W61" i="11"/>
  <c r="V61" i="11"/>
  <c r="V60" i="11"/>
  <c r="V59" i="11"/>
  <c r="V58" i="11"/>
  <c r="V57" i="11"/>
  <c r="V56" i="11"/>
  <c r="V55" i="11"/>
  <c r="V54" i="11"/>
  <c r="V53" i="11"/>
  <c r="V52" i="11"/>
  <c r="V51" i="11"/>
  <c r="U51" i="11"/>
  <c r="N51" i="11"/>
  <c r="N50" i="11"/>
  <c r="N49" i="11"/>
  <c r="N48" i="11"/>
  <c r="N47" i="11"/>
  <c r="N46" i="11"/>
  <c r="N45" i="11"/>
  <c r="N44" i="11"/>
  <c r="N43" i="11"/>
  <c r="N42" i="11"/>
  <c r="I53" i="11"/>
  <c r="H53" i="11"/>
  <c r="C50" i="11"/>
  <c r="D50" i="11"/>
  <c r="Y61" i="10"/>
  <c r="Y60" i="10"/>
  <c r="Y59" i="10"/>
  <c r="Y58" i="10"/>
  <c r="Y57" i="10"/>
  <c r="Y56" i="10"/>
  <c r="Y55" i="10"/>
  <c r="Y54" i="10"/>
  <c r="Y53" i="10"/>
  <c r="Y52" i="10"/>
  <c r="Y51" i="10"/>
  <c r="X61" i="10"/>
  <c r="X60" i="10"/>
  <c r="X59" i="10"/>
  <c r="X58" i="10"/>
  <c r="X57" i="10"/>
  <c r="X56" i="10"/>
  <c r="X55" i="10"/>
  <c r="X54" i="10"/>
  <c r="X53" i="10"/>
  <c r="X52" i="10"/>
  <c r="X51" i="10"/>
  <c r="W61" i="10"/>
  <c r="W60" i="10"/>
  <c r="W59" i="10"/>
  <c r="W58" i="10"/>
  <c r="W57" i="10"/>
  <c r="W56" i="10"/>
  <c r="W55" i="10"/>
  <c r="W54" i="10"/>
  <c r="W53" i="10"/>
  <c r="W52" i="10"/>
  <c r="W51" i="10"/>
  <c r="V61" i="10"/>
  <c r="V60" i="10"/>
  <c r="V59" i="10"/>
  <c r="V58" i="10"/>
  <c r="V57" i="10"/>
  <c r="V56" i="10"/>
  <c r="V55" i="10"/>
  <c r="V54" i="10"/>
  <c r="V53" i="10"/>
  <c r="V52" i="10"/>
  <c r="V51" i="10"/>
  <c r="U60" i="10"/>
  <c r="U59" i="10"/>
  <c r="U58" i="10"/>
  <c r="U57" i="10"/>
  <c r="U56" i="10"/>
  <c r="U55" i="10"/>
  <c r="U54" i="10"/>
  <c r="U53" i="10"/>
  <c r="U52" i="10"/>
  <c r="U51" i="10"/>
  <c r="N42" i="10"/>
  <c r="H53" i="10"/>
  <c r="I53" i="10"/>
  <c r="N51" i="10"/>
  <c r="N50" i="10"/>
  <c r="N49" i="10"/>
  <c r="N48" i="10"/>
  <c r="N47" i="10"/>
  <c r="N46" i="10"/>
  <c r="N45" i="10"/>
  <c r="N44" i="10"/>
  <c r="N43" i="10"/>
  <c r="C50" i="10"/>
  <c r="D50" i="10"/>
  <c r="Y61" i="9"/>
  <c r="Y60" i="9"/>
  <c r="Y59" i="9"/>
  <c r="Y58" i="9"/>
  <c r="Y57" i="9"/>
  <c r="Y56" i="9"/>
  <c r="Y55" i="9"/>
  <c r="Y54" i="9"/>
  <c r="Y53" i="9"/>
  <c r="Y52" i="9"/>
  <c r="Y51" i="9"/>
  <c r="X61" i="9"/>
  <c r="X60" i="9"/>
  <c r="X59" i="9"/>
  <c r="X58" i="9"/>
  <c r="X57" i="9"/>
  <c r="X56" i="9"/>
  <c r="X55" i="9"/>
  <c r="X54" i="9"/>
  <c r="X53" i="9"/>
  <c r="X52" i="9"/>
  <c r="X51" i="9"/>
  <c r="W61" i="9"/>
  <c r="W60" i="9"/>
  <c r="W59" i="9"/>
  <c r="W58" i="9"/>
  <c r="W57" i="9"/>
  <c r="W56" i="9"/>
  <c r="W55" i="9"/>
  <c r="W54" i="9"/>
  <c r="W53" i="9"/>
  <c r="W52" i="9"/>
  <c r="W51" i="9"/>
  <c r="V61" i="9"/>
  <c r="V60" i="9"/>
  <c r="V59" i="9"/>
  <c r="V58" i="9"/>
  <c r="V57" i="9"/>
  <c r="V56" i="9"/>
  <c r="V55" i="9"/>
  <c r="V54" i="9"/>
  <c r="V53" i="9"/>
  <c r="V52" i="9"/>
  <c r="V51" i="9"/>
  <c r="U61" i="9"/>
  <c r="U60" i="9"/>
  <c r="U59" i="9"/>
  <c r="U58" i="9"/>
  <c r="U57" i="9"/>
  <c r="U56" i="9"/>
  <c r="U55" i="9"/>
  <c r="U54" i="9"/>
  <c r="U53" i="9"/>
  <c r="U52" i="9"/>
  <c r="U51" i="9"/>
  <c r="N47" i="9"/>
  <c r="N51" i="9"/>
  <c r="N50" i="9"/>
  <c r="N49" i="9"/>
  <c r="N48" i="9"/>
  <c r="N46" i="9"/>
  <c r="N45" i="9"/>
  <c r="N44" i="9"/>
  <c r="N43" i="9"/>
  <c r="N42" i="9"/>
  <c r="H53" i="9"/>
  <c r="I53" i="9"/>
  <c r="G32" i="9" s="1"/>
  <c r="D50" i="9"/>
  <c r="C50" i="9"/>
  <c r="Y61" i="8"/>
  <c r="Y60" i="8"/>
  <c r="Y59" i="8"/>
  <c r="Y58" i="8"/>
  <c r="Y57" i="8"/>
  <c r="Y56" i="8"/>
  <c r="Y55" i="8"/>
  <c r="Y54" i="8"/>
  <c r="Y53" i="8"/>
  <c r="Y52" i="8"/>
  <c r="Y51" i="8"/>
  <c r="X61" i="8"/>
  <c r="X60" i="8"/>
  <c r="X59" i="8"/>
  <c r="X58" i="8"/>
  <c r="X57" i="8"/>
  <c r="X56" i="8"/>
  <c r="X55" i="8"/>
  <c r="X54" i="8"/>
  <c r="X53" i="8"/>
  <c r="X52" i="8"/>
  <c r="X51" i="8"/>
  <c r="W61" i="8"/>
  <c r="W60" i="8"/>
  <c r="W59" i="8"/>
  <c r="W58" i="8"/>
  <c r="W57" i="8"/>
  <c r="W56" i="8"/>
  <c r="W55" i="8"/>
  <c r="W54" i="8"/>
  <c r="W53" i="8"/>
  <c r="W52" i="8"/>
  <c r="W51" i="8"/>
  <c r="V61" i="8"/>
  <c r="V60" i="8"/>
  <c r="V59" i="8"/>
  <c r="V58" i="8"/>
  <c r="V57" i="8"/>
  <c r="V56" i="8"/>
  <c r="V55" i="8"/>
  <c r="V54" i="8"/>
  <c r="V53" i="8"/>
  <c r="V52" i="8"/>
  <c r="V51" i="8"/>
  <c r="U61" i="8"/>
  <c r="U60" i="8"/>
  <c r="U59" i="8"/>
  <c r="U58" i="8"/>
  <c r="U57" i="8"/>
  <c r="U56" i="8"/>
  <c r="U55" i="8"/>
  <c r="U54" i="8"/>
  <c r="U53" i="8"/>
  <c r="U52" i="8"/>
  <c r="U51" i="8"/>
  <c r="N51" i="8"/>
  <c r="N50" i="8"/>
  <c r="N49" i="8"/>
  <c r="N48" i="8"/>
  <c r="N47" i="8"/>
  <c r="N46" i="8"/>
  <c r="N45" i="8"/>
  <c r="N44" i="8"/>
  <c r="N43" i="8"/>
  <c r="N42" i="8"/>
  <c r="I53" i="8"/>
  <c r="H53" i="8"/>
  <c r="D50" i="8"/>
  <c r="C50" i="8"/>
  <c r="G32" i="8"/>
  <c r="Y61" i="17"/>
  <c r="Y60" i="17"/>
  <c r="Y59" i="17"/>
  <c r="Y58" i="17"/>
  <c r="Y57" i="17"/>
  <c r="Y56" i="17"/>
  <c r="Y55" i="17"/>
  <c r="Y54" i="17"/>
  <c r="Y53" i="17"/>
  <c r="Y52" i="17"/>
  <c r="Y51" i="17"/>
  <c r="X61" i="17"/>
  <c r="X60" i="17"/>
  <c r="X59" i="17"/>
  <c r="X58" i="17"/>
  <c r="X57" i="17"/>
  <c r="X56" i="17"/>
  <c r="X55" i="17"/>
  <c r="X54" i="17"/>
  <c r="X53" i="17"/>
  <c r="X52" i="17"/>
  <c r="X51" i="17"/>
  <c r="W61" i="17"/>
  <c r="W60" i="17"/>
  <c r="W59" i="17"/>
  <c r="W58" i="17"/>
  <c r="W57" i="17"/>
  <c r="W56" i="17"/>
  <c r="W55" i="17"/>
  <c r="W54" i="17"/>
  <c r="W53" i="17"/>
  <c r="W52" i="17"/>
  <c r="W51" i="17"/>
  <c r="V61" i="17"/>
  <c r="V60" i="17"/>
  <c r="V59" i="17"/>
  <c r="V58" i="17"/>
  <c r="V57" i="17"/>
  <c r="V56" i="17"/>
  <c r="V55" i="17"/>
  <c r="V54" i="17"/>
  <c r="V53" i="17"/>
  <c r="V52" i="17"/>
  <c r="V51" i="17"/>
  <c r="U61" i="17"/>
  <c r="U60" i="17"/>
  <c r="U59" i="17"/>
  <c r="U58" i="17"/>
  <c r="U57" i="17"/>
  <c r="U56" i="17"/>
  <c r="U55" i="17"/>
  <c r="U54" i="17"/>
  <c r="U53" i="17"/>
  <c r="U52" i="17"/>
  <c r="U51" i="17"/>
  <c r="D50" i="17"/>
  <c r="C50" i="17"/>
  <c r="N51" i="17"/>
  <c r="N50" i="17"/>
  <c r="N49" i="17"/>
  <c r="N48" i="17"/>
  <c r="N46" i="17"/>
  <c r="N43" i="17"/>
  <c r="N44" i="17"/>
  <c r="N45" i="17"/>
  <c r="I53" i="17"/>
  <c r="H53" i="17"/>
  <c r="Y61" i="7"/>
  <c r="Y60" i="7"/>
  <c r="Y59" i="7"/>
  <c r="Y58" i="7"/>
  <c r="Y57" i="7"/>
  <c r="Y56" i="7"/>
  <c r="Y55" i="7"/>
  <c r="Y54" i="7"/>
  <c r="Y53" i="7"/>
  <c r="Y52" i="7"/>
  <c r="Y51" i="7"/>
  <c r="X61" i="7"/>
  <c r="X60" i="7"/>
  <c r="X59" i="7"/>
  <c r="X58" i="7"/>
  <c r="X57" i="7"/>
  <c r="X56" i="7"/>
  <c r="X55" i="7"/>
  <c r="X54" i="7"/>
  <c r="X53" i="7"/>
  <c r="X52" i="7"/>
  <c r="X51" i="7"/>
  <c r="W61" i="7"/>
  <c r="W60" i="7"/>
  <c r="W59" i="7"/>
  <c r="W58" i="7"/>
  <c r="W57" i="7"/>
  <c r="W56" i="7"/>
  <c r="W55" i="7"/>
  <c r="W54" i="7"/>
  <c r="W53" i="7"/>
  <c r="W52" i="7"/>
  <c r="W51" i="7"/>
  <c r="V61" i="7"/>
  <c r="V60" i="7"/>
  <c r="V59" i="7"/>
  <c r="V58" i="7"/>
  <c r="V57" i="7"/>
  <c r="V56" i="7"/>
  <c r="V55" i="7"/>
  <c r="V54" i="7"/>
  <c r="V53" i="7"/>
  <c r="V52" i="7"/>
  <c r="V51" i="7"/>
  <c r="U61" i="7"/>
  <c r="U60" i="7"/>
  <c r="U59" i="7"/>
  <c r="U58" i="7"/>
  <c r="U57" i="7"/>
  <c r="U56" i="7"/>
  <c r="U55" i="7"/>
  <c r="U54" i="7"/>
  <c r="U53" i="7"/>
  <c r="U52" i="7"/>
  <c r="U51" i="7"/>
  <c r="N51" i="7"/>
  <c r="N50" i="7"/>
  <c r="N49" i="7"/>
  <c r="N48" i="7"/>
  <c r="N47" i="7"/>
  <c r="N46" i="7"/>
  <c r="N45" i="7"/>
  <c r="N44" i="7"/>
  <c r="N43" i="7"/>
  <c r="N42" i="7"/>
  <c r="I53" i="7"/>
  <c r="H53" i="7"/>
  <c r="C50" i="7"/>
  <c r="D50" i="7"/>
  <c r="U61" i="5"/>
  <c r="U60" i="5"/>
  <c r="U59" i="5"/>
  <c r="U58" i="5"/>
  <c r="U57" i="5"/>
  <c r="U56" i="5"/>
  <c r="U55" i="5"/>
  <c r="U54" i="5"/>
  <c r="U53" i="5"/>
  <c r="U52" i="5"/>
  <c r="U51" i="5"/>
  <c r="B33" i="15" l="1"/>
  <c r="B33" i="13"/>
  <c r="B33" i="12"/>
  <c r="G32" i="11"/>
  <c r="B30" i="11"/>
  <c r="B33" i="9"/>
  <c r="B33" i="8"/>
  <c r="B30" i="17"/>
  <c r="G32" i="7"/>
  <c r="B33" i="7"/>
  <c r="B30" i="15"/>
  <c r="B33" i="10"/>
  <c r="G32" i="10"/>
  <c r="B30" i="9"/>
  <c r="B33" i="11"/>
  <c r="B30" i="12"/>
  <c r="B30" i="13"/>
  <c r="B30" i="14"/>
  <c r="B33" i="17"/>
  <c r="B33" i="14"/>
  <c r="B30" i="7"/>
  <c r="B30" i="10"/>
  <c r="O34" i="18"/>
  <c r="P34" i="18"/>
  <c r="D34" i="18"/>
  <c r="C34" i="18"/>
  <c r="B33" i="16"/>
  <c r="B30" i="8"/>
  <c r="G32" i="17"/>
  <c r="E34" i="18" l="1"/>
  <c r="F34" i="18" s="1"/>
  <c r="H34" i="18" s="1"/>
  <c r="C35" i="18" s="1"/>
  <c r="Q34" i="18"/>
  <c r="R34" i="18" s="1"/>
  <c r="T34" i="18" s="1"/>
  <c r="D35" i="18" l="1"/>
  <c r="E35" i="18" s="1"/>
  <c r="F35" i="18" s="1"/>
  <c r="H35" i="18" s="1"/>
  <c r="P35" i="18"/>
  <c r="O35" i="18"/>
  <c r="J52" i="17"/>
  <c r="L51" i="17"/>
  <c r="J51" i="17"/>
  <c r="L50" i="17"/>
  <c r="J50" i="17"/>
  <c r="L49" i="17"/>
  <c r="J49" i="17"/>
  <c r="E49" i="17"/>
  <c r="L48" i="17"/>
  <c r="J48" i="17"/>
  <c r="E48" i="17"/>
  <c r="J47" i="17"/>
  <c r="E47" i="17"/>
  <c r="L46" i="17"/>
  <c r="J46" i="17"/>
  <c r="E46" i="17"/>
  <c r="L45" i="17"/>
  <c r="J45" i="17"/>
  <c r="E45" i="17"/>
  <c r="L44" i="17"/>
  <c r="J44" i="17"/>
  <c r="E44" i="17"/>
  <c r="L43" i="17"/>
  <c r="J43" i="17"/>
  <c r="E43" i="17"/>
  <c r="J42" i="17"/>
  <c r="E42" i="17"/>
  <c r="N32" i="17"/>
  <c r="L32" i="17"/>
  <c r="P31" i="17"/>
  <c r="N30" i="17"/>
  <c r="L30" i="17"/>
  <c r="P29" i="17"/>
  <c r="P27" i="17"/>
  <c r="N42" i="5"/>
  <c r="N30" i="5" s="1"/>
  <c r="Y61" i="5"/>
  <c r="Y60" i="5"/>
  <c r="Y59" i="5"/>
  <c r="Y58" i="5"/>
  <c r="Y57" i="5"/>
  <c r="Y56" i="5"/>
  <c r="Y55" i="5"/>
  <c r="Y54" i="5"/>
  <c r="Y53" i="5"/>
  <c r="Y52" i="5"/>
  <c r="Y51" i="5"/>
  <c r="X61" i="5"/>
  <c r="X60" i="5"/>
  <c r="X59" i="5"/>
  <c r="X58" i="5"/>
  <c r="X57" i="5"/>
  <c r="X56" i="5"/>
  <c r="X55" i="5"/>
  <c r="X54" i="5"/>
  <c r="X53" i="5"/>
  <c r="X52" i="5"/>
  <c r="X51" i="5"/>
  <c r="W61" i="5"/>
  <c r="W60" i="5"/>
  <c r="W59" i="5"/>
  <c r="W58" i="5"/>
  <c r="W57" i="5"/>
  <c r="W56" i="5"/>
  <c r="W55" i="5"/>
  <c r="W54" i="5"/>
  <c r="W53" i="5"/>
  <c r="W52" i="5"/>
  <c r="W51" i="5"/>
  <c r="V61" i="5"/>
  <c r="V60" i="5"/>
  <c r="V59" i="5"/>
  <c r="V58" i="5"/>
  <c r="V57" i="5"/>
  <c r="V56" i="5"/>
  <c r="V55" i="5"/>
  <c r="V54" i="5"/>
  <c r="V53" i="5"/>
  <c r="V52" i="5"/>
  <c r="V51" i="5"/>
  <c r="N47" i="5"/>
  <c r="N32" i="5" s="1"/>
  <c r="N51" i="5"/>
  <c r="N50" i="5"/>
  <c r="N49" i="5"/>
  <c r="N48" i="5"/>
  <c r="H53" i="5"/>
  <c r="I53" i="5"/>
  <c r="C50" i="5"/>
  <c r="D50" i="5"/>
  <c r="N46" i="5"/>
  <c r="N45" i="5"/>
  <c r="N44" i="5"/>
  <c r="N43" i="5"/>
  <c r="J52" i="16"/>
  <c r="L51" i="16"/>
  <c r="J51" i="16"/>
  <c r="L50" i="16"/>
  <c r="J50" i="16"/>
  <c r="L49" i="16"/>
  <c r="J49" i="16"/>
  <c r="E49" i="16"/>
  <c r="L48" i="16"/>
  <c r="J48" i="16"/>
  <c r="E48" i="16"/>
  <c r="J47" i="16"/>
  <c r="E47" i="16"/>
  <c r="L46" i="16"/>
  <c r="J46" i="16"/>
  <c r="E46" i="16"/>
  <c r="L45" i="16"/>
  <c r="J45" i="16"/>
  <c r="E45" i="16"/>
  <c r="L44" i="16"/>
  <c r="J44" i="16"/>
  <c r="E44" i="16"/>
  <c r="L43" i="16"/>
  <c r="J43" i="16"/>
  <c r="E43" i="16"/>
  <c r="J42" i="16"/>
  <c r="E42" i="16"/>
  <c r="L32" i="16"/>
  <c r="P31" i="16"/>
  <c r="L30" i="16"/>
  <c r="P29" i="16"/>
  <c r="P27" i="16"/>
  <c r="J52" i="15"/>
  <c r="L51" i="15"/>
  <c r="J51" i="15"/>
  <c r="L50" i="15"/>
  <c r="J50" i="15"/>
  <c r="L49" i="15"/>
  <c r="J49" i="15"/>
  <c r="E49" i="15"/>
  <c r="L48" i="15"/>
  <c r="J48" i="15"/>
  <c r="E48" i="15"/>
  <c r="N32" i="15"/>
  <c r="J47" i="15"/>
  <c r="E47" i="15"/>
  <c r="L46" i="15"/>
  <c r="J46" i="15"/>
  <c r="E46" i="15"/>
  <c r="L45" i="15"/>
  <c r="J45" i="15"/>
  <c r="E45" i="15"/>
  <c r="L44" i="15"/>
  <c r="J44" i="15"/>
  <c r="E44" i="15"/>
  <c r="L43" i="15"/>
  <c r="J43" i="15"/>
  <c r="E43" i="15"/>
  <c r="J42" i="15"/>
  <c r="E42" i="15"/>
  <c r="L32" i="15"/>
  <c r="P31" i="15"/>
  <c r="N30" i="15"/>
  <c r="L30" i="15"/>
  <c r="P29" i="15"/>
  <c r="P27" i="15"/>
  <c r="J52" i="14"/>
  <c r="L51" i="14"/>
  <c r="J51" i="14"/>
  <c r="L50" i="14"/>
  <c r="J50" i="14"/>
  <c r="L49" i="14"/>
  <c r="J49" i="14"/>
  <c r="E49" i="14"/>
  <c r="L48" i="14"/>
  <c r="J48" i="14"/>
  <c r="E48" i="14"/>
  <c r="N32" i="14"/>
  <c r="J47" i="14"/>
  <c r="E47" i="14"/>
  <c r="L46" i="14"/>
  <c r="J46" i="14"/>
  <c r="E46" i="14"/>
  <c r="L45" i="14"/>
  <c r="J45" i="14"/>
  <c r="E45" i="14"/>
  <c r="L44" i="14"/>
  <c r="J44" i="14"/>
  <c r="E44" i="14"/>
  <c r="L43" i="14"/>
  <c r="J43" i="14"/>
  <c r="E43" i="14"/>
  <c r="N30" i="14"/>
  <c r="J42" i="14"/>
  <c r="E42" i="14"/>
  <c r="L32" i="14"/>
  <c r="P31" i="14"/>
  <c r="L30" i="14"/>
  <c r="P29" i="14"/>
  <c r="P27" i="14"/>
  <c r="U61" i="13"/>
  <c r="U60" i="13"/>
  <c r="U59" i="13"/>
  <c r="U58" i="13"/>
  <c r="U57" i="13"/>
  <c r="U56" i="13"/>
  <c r="U55" i="13"/>
  <c r="U54" i="13"/>
  <c r="U53" i="13"/>
  <c r="J52" i="13"/>
  <c r="L51" i="13"/>
  <c r="J51" i="13"/>
  <c r="L50" i="13"/>
  <c r="J50" i="13"/>
  <c r="L49" i="13"/>
  <c r="J49" i="13"/>
  <c r="E49" i="13"/>
  <c r="L48" i="13"/>
  <c r="J48" i="13"/>
  <c r="E48" i="13"/>
  <c r="N32" i="13"/>
  <c r="J47" i="13"/>
  <c r="E47" i="13"/>
  <c r="L46" i="13"/>
  <c r="J46" i="13"/>
  <c r="E46" i="13"/>
  <c r="L45" i="13"/>
  <c r="J45" i="13"/>
  <c r="E45" i="13"/>
  <c r="L44" i="13"/>
  <c r="J44" i="13"/>
  <c r="E44" i="13"/>
  <c r="L43" i="13"/>
  <c r="J43" i="13"/>
  <c r="E43" i="13"/>
  <c r="N30" i="13"/>
  <c r="J42" i="13"/>
  <c r="E42" i="13"/>
  <c r="L32" i="13"/>
  <c r="P31" i="13"/>
  <c r="L30" i="13"/>
  <c r="P29" i="13"/>
  <c r="P27" i="13"/>
  <c r="J52" i="12"/>
  <c r="L51" i="12"/>
  <c r="J51" i="12"/>
  <c r="L50" i="12"/>
  <c r="J50" i="12"/>
  <c r="L49" i="12"/>
  <c r="J49" i="12"/>
  <c r="E49" i="12"/>
  <c r="L48" i="12"/>
  <c r="J48" i="12"/>
  <c r="E48" i="12"/>
  <c r="N32" i="12"/>
  <c r="J47" i="12"/>
  <c r="E47" i="12"/>
  <c r="L46" i="12"/>
  <c r="J46" i="12"/>
  <c r="E46" i="12"/>
  <c r="L45" i="12"/>
  <c r="J45" i="12"/>
  <c r="E45" i="12"/>
  <c r="L44" i="12"/>
  <c r="J44" i="12"/>
  <c r="E44" i="12"/>
  <c r="L43" i="12"/>
  <c r="J43" i="12"/>
  <c r="E43" i="12"/>
  <c r="N30" i="12"/>
  <c r="J42" i="12"/>
  <c r="E42" i="12"/>
  <c r="L32" i="12"/>
  <c r="P31" i="12"/>
  <c r="L30" i="12"/>
  <c r="P29" i="12"/>
  <c r="P27" i="12"/>
  <c r="J52" i="11"/>
  <c r="L51" i="11"/>
  <c r="J51" i="11"/>
  <c r="L50" i="11"/>
  <c r="J50" i="11"/>
  <c r="L49" i="11"/>
  <c r="J49" i="11"/>
  <c r="E49" i="11"/>
  <c r="L48" i="11"/>
  <c r="J48" i="11"/>
  <c r="E48" i="11"/>
  <c r="N32" i="11"/>
  <c r="J47" i="11"/>
  <c r="E47" i="11"/>
  <c r="L46" i="11"/>
  <c r="J46" i="11"/>
  <c r="E46" i="11"/>
  <c r="L45" i="11"/>
  <c r="J45" i="11"/>
  <c r="E45" i="11"/>
  <c r="L44" i="11"/>
  <c r="J44" i="11"/>
  <c r="E44" i="11"/>
  <c r="L43" i="11"/>
  <c r="J43" i="11"/>
  <c r="E43" i="11"/>
  <c r="N30" i="11"/>
  <c r="J42" i="11"/>
  <c r="E42" i="11"/>
  <c r="L32" i="11"/>
  <c r="P31" i="11"/>
  <c r="L30" i="11"/>
  <c r="P29" i="11"/>
  <c r="P27" i="11"/>
  <c r="U61" i="10"/>
  <c r="J52" i="10"/>
  <c r="L51" i="10"/>
  <c r="J51" i="10"/>
  <c r="L50" i="10"/>
  <c r="J50" i="10"/>
  <c r="L49" i="10"/>
  <c r="J49" i="10"/>
  <c r="E49" i="10"/>
  <c r="L48" i="10"/>
  <c r="J48" i="10"/>
  <c r="E48" i="10"/>
  <c r="N32" i="10"/>
  <c r="J47" i="10"/>
  <c r="E47" i="10"/>
  <c r="L46" i="10"/>
  <c r="J46" i="10"/>
  <c r="E46" i="10"/>
  <c r="L45" i="10"/>
  <c r="J45" i="10"/>
  <c r="E45" i="10"/>
  <c r="L44" i="10"/>
  <c r="J44" i="10"/>
  <c r="E44" i="10"/>
  <c r="L43" i="10"/>
  <c r="J43" i="10"/>
  <c r="E43" i="10"/>
  <c r="N30" i="10"/>
  <c r="J42" i="10"/>
  <c r="E42" i="10"/>
  <c r="E50" i="10" s="1"/>
  <c r="L32" i="10"/>
  <c r="P31" i="10"/>
  <c r="L30" i="10"/>
  <c r="P29" i="10"/>
  <c r="P27" i="10"/>
  <c r="J52" i="9"/>
  <c r="L51" i="9"/>
  <c r="J51" i="9"/>
  <c r="L50" i="9"/>
  <c r="J50" i="9"/>
  <c r="L49" i="9"/>
  <c r="J49" i="9"/>
  <c r="E49" i="9"/>
  <c r="L48" i="9"/>
  <c r="J48" i="9"/>
  <c r="E48" i="9"/>
  <c r="N32" i="9"/>
  <c r="J47" i="9"/>
  <c r="E47" i="9"/>
  <c r="L46" i="9"/>
  <c r="J46" i="9"/>
  <c r="E46" i="9"/>
  <c r="L45" i="9"/>
  <c r="J45" i="9"/>
  <c r="E45" i="9"/>
  <c r="L44" i="9"/>
  <c r="J44" i="9"/>
  <c r="E44" i="9"/>
  <c r="L43" i="9"/>
  <c r="J43" i="9"/>
  <c r="E43" i="9"/>
  <c r="N30" i="9"/>
  <c r="J42" i="9"/>
  <c r="E42" i="9"/>
  <c r="L32" i="9"/>
  <c r="P31" i="9"/>
  <c r="L30" i="9"/>
  <c r="P29" i="9"/>
  <c r="P27" i="9"/>
  <c r="J52" i="8"/>
  <c r="L51" i="8"/>
  <c r="J51" i="8"/>
  <c r="L50" i="8"/>
  <c r="J50" i="8"/>
  <c r="L49" i="8"/>
  <c r="J49" i="8"/>
  <c r="E49" i="8"/>
  <c r="L48" i="8"/>
  <c r="J48" i="8"/>
  <c r="E48" i="8"/>
  <c r="N32" i="8"/>
  <c r="J47" i="8"/>
  <c r="E47" i="8"/>
  <c r="L46" i="8"/>
  <c r="J46" i="8"/>
  <c r="E46" i="8"/>
  <c r="L45" i="8"/>
  <c r="J45" i="8"/>
  <c r="E45" i="8"/>
  <c r="L44" i="8"/>
  <c r="J44" i="8"/>
  <c r="E44" i="8"/>
  <c r="L43" i="8"/>
  <c r="J43" i="8"/>
  <c r="E43" i="8"/>
  <c r="N30" i="8"/>
  <c r="J42" i="8"/>
  <c r="E42" i="8"/>
  <c r="L32" i="8"/>
  <c r="P31" i="8"/>
  <c r="L30" i="8"/>
  <c r="P29" i="8"/>
  <c r="P27" i="8"/>
  <c r="J52" i="7"/>
  <c r="L51" i="7"/>
  <c r="J51" i="7"/>
  <c r="L50" i="7"/>
  <c r="J50" i="7"/>
  <c r="L49" i="7"/>
  <c r="J49" i="7"/>
  <c r="E49" i="7"/>
  <c r="L48" i="7"/>
  <c r="J48" i="7"/>
  <c r="E48" i="7"/>
  <c r="N32" i="7"/>
  <c r="J47" i="7"/>
  <c r="E47" i="7"/>
  <c r="L46" i="7"/>
  <c r="J46" i="7"/>
  <c r="E46" i="7"/>
  <c r="L45" i="7"/>
  <c r="J45" i="7"/>
  <c r="E45" i="7"/>
  <c r="L44" i="7"/>
  <c r="J44" i="7"/>
  <c r="E44" i="7"/>
  <c r="L43" i="7"/>
  <c r="J43" i="7"/>
  <c r="E43" i="7"/>
  <c r="N30" i="7"/>
  <c r="J42" i="7"/>
  <c r="E42" i="7"/>
  <c r="L32" i="7"/>
  <c r="P31" i="7"/>
  <c r="L30" i="7"/>
  <c r="P29" i="7"/>
  <c r="P27" i="7"/>
  <c r="J52" i="5"/>
  <c r="L51" i="5"/>
  <c r="J51" i="5"/>
  <c r="L50" i="5"/>
  <c r="J50" i="5"/>
  <c r="L49" i="5"/>
  <c r="J49" i="5"/>
  <c r="E49" i="5"/>
  <c r="L48" i="5"/>
  <c r="J48" i="5"/>
  <c r="E48" i="5"/>
  <c r="J47" i="5"/>
  <c r="E47" i="5"/>
  <c r="L46" i="5"/>
  <c r="J46" i="5"/>
  <c r="E46" i="5"/>
  <c r="L45" i="5"/>
  <c r="J45" i="5"/>
  <c r="E45" i="5"/>
  <c r="L44" i="5"/>
  <c r="J44" i="5"/>
  <c r="E44" i="5"/>
  <c r="L43" i="5"/>
  <c r="J43" i="5"/>
  <c r="E43" i="5"/>
  <c r="J42" i="5"/>
  <c r="E42" i="5"/>
  <c r="L32" i="5"/>
  <c r="P31" i="5"/>
  <c r="L30" i="5"/>
  <c r="P29" i="5"/>
  <c r="P27" i="5"/>
  <c r="E50" i="12" l="1"/>
  <c r="E50" i="17"/>
  <c r="E50" i="13"/>
  <c r="J53" i="15"/>
  <c r="E50" i="15"/>
  <c r="J53" i="14"/>
  <c r="E50" i="14"/>
  <c r="J53" i="13"/>
  <c r="J53" i="12"/>
  <c r="J53" i="11"/>
  <c r="E50" i="11"/>
  <c r="J53" i="10"/>
  <c r="J53" i="9"/>
  <c r="J53" i="8"/>
  <c r="J53" i="17"/>
  <c r="D36" i="18"/>
  <c r="C36" i="18"/>
  <c r="Q35" i="18"/>
  <c r="R35" i="18" s="1"/>
  <c r="T35" i="18" s="1"/>
  <c r="P36" i="18" s="1"/>
  <c r="E50" i="5"/>
  <c r="E50" i="7"/>
  <c r="J53" i="5"/>
  <c r="B33" i="5"/>
  <c r="E50" i="16"/>
  <c r="B30" i="5"/>
  <c r="J53" i="16"/>
  <c r="E50" i="8"/>
  <c r="J53" i="7"/>
  <c r="G32" i="5"/>
  <c r="O36" i="18" l="1"/>
  <c r="Q36" i="18" s="1"/>
  <c r="R36" i="18" s="1"/>
  <c r="T36" i="18" s="1"/>
  <c r="E36" i="18"/>
  <c r="F36" i="18" s="1"/>
  <c r="H36" i="18" s="1"/>
  <c r="C37" i="18" s="1"/>
  <c r="C31" i="4"/>
  <c r="H31" i="4"/>
  <c r="P28" i="1" s="1"/>
  <c r="I31" i="4"/>
  <c r="K31" i="4"/>
  <c r="L31" i="4"/>
  <c r="Q31" i="4"/>
  <c r="R31" i="4"/>
  <c r="S31" i="4"/>
  <c r="C39" i="4"/>
  <c r="H39" i="4"/>
  <c r="I39" i="4"/>
  <c r="P30" i="5" s="1"/>
  <c r="J39" i="4"/>
  <c r="P30" i="7" s="1"/>
  <c r="K39" i="4"/>
  <c r="P30" i="17" s="1"/>
  <c r="L39" i="4"/>
  <c r="P30" i="8" s="1"/>
  <c r="M39" i="4"/>
  <c r="P30" i="9" s="1"/>
  <c r="N39" i="4"/>
  <c r="P30" i="10" s="1"/>
  <c r="O39" i="4"/>
  <c r="P30" i="11" s="1"/>
  <c r="P39" i="4"/>
  <c r="P30" i="12" s="1"/>
  <c r="Q39" i="4"/>
  <c r="P30" i="13" s="1"/>
  <c r="R39" i="4"/>
  <c r="P30" i="14" s="1"/>
  <c r="S39" i="4"/>
  <c r="H47" i="4"/>
  <c r="I47" i="4"/>
  <c r="P32" i="5" s="1"/>
  <c r="P32" i="7"/>
  <c r="K47" i="4"/>
  <c r="P32" i="17" s="1"/>
  <c r="L47" i="4"/>
  <c r="M47" i="4"/>
  <c r="N47" i="4"/>
  <c r="P32" i="10" s="1"/>
  <c r="O47" i="4"/>
  <c r="P47" i="4"/>
  <c r="P32" i="12" s="1"/>
  <c r="Q47" i="4"/>
  <c r="P32" i="13" s="1"/>
  <c r="R47" i="4"/>
  <c r="P32" i="14" s="1"/>
  <c r="S47" i="4"/>
  <c r="F36" i="3"/>
  <c r="E36" i="3" s="1"/>
  <c r="F35" i="3"/>
  <c r="E35" i="3" s="1"/>
  <c r="H27" i="3"/>
  <c r="H37" i="3"/>
  <c r="F34" i="3"/>
  <c r="E34" i="3" s="1"/>
  <c r="F33" i="3"/>
  <c r="E33" i="3" s="1"/>
  <c r="F26" i="3"/>
  <c r="E26" i="3" s="1"/>
  <c r="F25" i="3"/>
  <c r="E25" i="3" s="1"/>
  <c r="F24" i="3"/>
  <c r="E24" i="3" s="1"/>
  <c r="F23" i="3"/>
  <c r="E23" i="3" s="1"/>
  <c r="I53" i="1"/>
  <c r="D50" i="1"/>
  <c r="B30" i="1" s="1"/>
  <c r="P31" i="1"/>
  <c r="P29" i="1"/>
  <c r="P27" i="1"/>
  <c r="N47" i="1"/>
  <c r="N32" i="1" s="1"/>
  <c r="L32" i="1"/>
  <c r="N42" i="1"/>
  <c r="N30" i="1" s="1"/>
  <c r="L30" i="1"/>
  <c r="X61" i="1"/>
  <c r="V61" i="1"/>
  <c r="V56" i="1"/>
  <c r="W56" i="1"/>
  <c r="W55" i="1"/>
  <c r="U61" i="1"/>
  <c r="U60" i="1"/>
  <c r="U51" i="1"/>
  <c r="U59" i="1"/>
  <c r="U58" i="1"/>
  <c r="U57" i="1"/>
  <c r="U53" i="1"/>
  <c r="U52" i="1"/>
  <c r="X60" i="1"/>
  <c r="X51" i="1"/>
  <c r="X59" i="1"/>
  <c r="X58" i="1"/>
  <c r="X57" i="1"/>
  <c r="X53" i="1"/>
  <c r="X52" i="1"/>
  <c r="X56" i="1"/>
  <c r="X55" i="1"/>
  <c r="X54" i="1"/>
  <c r="Y54" i="1"/>
  <c r="Y61" i="1"/>
  <c r="Y60" i="1"/>
  <c r="Y51" i="1"/>
  <c r="Y59" i="1"/>
  <c r="Y58" i="1"/>
  <c r="Y57" i="1"/>
  <c r="Y53" i="1"/>
  <c r="Y52" i="1"/>
  <c r="Y56" i="1"/>
  <c r="Y55" i="1"/>
  <c r="W61" i="1"/>
  <c r="W60" i="1"/>
  <c r="W51" i="1"/>
  <c r="W59" i="1"/>
  <c r="W58" i="1"/>
  <c r="W57" i="1"/>
  <c r="W53" i="1"/>
  <c r="W52" i="1"/>
  <c r="W54" i="1"/>
  <c r="V60" i="1"/>
  <c r="V51" i="1"/>
  <c r="V59" i="1"/>
  <c r="V58" i="1"/>
  <c r="V57" i="1"/>
  <c r="V53" i="1"/>
  <c r="V52" i="1"/>
  <c r="V55" i="1"/>
  <c r="V54" i="1"/>
  <c r="L46" i="1"/>
  <c r="L45" i="1"/>
  <c r="L44" i="1"/>
  <c r="L43" i="1"/>
  <c r="U56" i="1"/>
  <c r="U55" i="1"/>
  <c r="U54" i="1"/>
  <c r="N51" i="1"/>
  <c r="N50" i="1"/>
  <c r="N49" i="1"/>
  <c r="N48" i="1"/>
  <c r="L51" i="1"/>
  <c r="L50" i="1"/>
  <c r="L49" i="1"/>
  <c r="L48" i="1"/>
  <c r="N46" i="1"/>
  <c r="N45" i="1"/>
  <c r="N44" i="1"/>
  <c r="N43" i="1"/>
  <c r="J42" i="1"/>
  <c r="J43" i="1"/>
  <c r="J44" i="1"/>
  <c r="J45" i="1"/>
  <c r="J46" i="1"/>
  <c r="J47" i="1"/>
  <c r="J48" i="1"/>
  <c r="J49" i="1"/>
  <c r="J50" i="1"/>
  <c r="J51" i="1"/>
  <c r="J52" i="1"/>
  <c r="H53" i="1"/>
  <c r="C50" i="1"/>
  <c r="E42" i="1"/>
  <c r="E43" i="1"/>
  <c r="E44" i="1"/>
  <c r="E45" i="1"/>
  <c r="E46" i="1"/>
  <c r="E47" i="1"/>
  <c r="E48" i="1"/>
  <c r="E49" i="1"/>
  <c r="X42" i="4"/>
  <c r="V42" i="4" s="1"/>
  <c r="D42" i="4"/>
  <c r="X43" i="4"/>
  <c r="V43" i="4" s="1"/>
  <c r="D43" i="4"/>
  <c r="G43" i="4" s="1"/>
  <c r="X44" i="4"/>
  <c r="V44" i="4" s="1"/>
  <c r="X45" i="4"/>
  <c r="V45" i="4" s="1"/>
  <c r="D45" i="4"/>
  <c r="G45" i="4" s="1"/>
  <c r="X46" i="4"/>
  <c r="V46" i="4" s="1"/>
  <c r="D46" i="4"/>
  <c r="G46" i="4" s="1"/>
  <c r="X34" i="4"/>
  <c r="D34" i="4"/>
  <c r="G34" i="4" s="1"/>
  <c r="X35" i="4"/>
  <c r="V35" i="4" s="1"/>
  <c r="D35" i="4"/>
  <c r="G35" i="4" s="1"/>
  <c r="X36" i="4"/>
  <c r="V36" i="4" s="1"/>
  <c r="D36" i="4"/>
  <c r="G36" i="4" s="1"/>
  <c r="W36" i="4" s="1"/>
  <c r="X37" i="4"/>
  <c r="V37" i="4" s="1"/>
  <c r="D37" i="4"/>
  <c r="G37" i="4" s="1"/>
  <c r="X38" i="4"/>
  <c r="V38" i="4" s="1"/>
  <c r="D38" i="4"/>
  <c r="G38" i="4" s="1"/>
  <c r="X23" i="4"/>
  <c r="D23" i="4"/>
  <c r="G23" i="4" s="1"/>
  <c r="X24" i="4"/>
  <c r="V24" i="4" s="1"/>
  <c r="G24" i="4"/>
  <c r="X25" i="4"/>
  <c r="V25" i="4" s="1"/>
  <c r="D25" i="4"/>
  <c r="G25" i="4" s="1"/>
  <c r="W25" i="4" s="1"/>
  <c r="X26" i="4"/>
  <c r="V26" i="4" s="1"/>
  <c r="D26" i="4"/>
  <c r="G26" i="4" s="1"/>
  <c r="X27" i="4"/>
  <c r="V27" i="4" s="1"/>
  <c r="D27" i="4"/>
  <c r="G27" i="4" s="1"/>
  <c r="X28" i="4"/>
  <c r="V28" i="4" s="1"/>
  <c r="D28" i="4"/>
  <c r="G28" i="4" s="1"/>
  <c r="X29" i="4"/>
  <c r="V29" i="4" s="1"/>
  <c r="D29" i="4"/>
  <c r="G29" i="4" s="1"/>
  <c r="W29" i="4" s="1"/>
  <c r="X30" i="4"/>
  <c r="V30" i="4" s="1"/>
  <c r="D30" i="4"/>
  <c r="G30" i="4" s="1"/>
  <c r="X33" i="3"/>
  <c r="N48" i="16" s="1"/>
  <c r="X34" i="3"/>
  <c r="N49" i="16" s="1"/>
  <c r="X35" i="3"/>
  <c r="N50" i="16" s="1"/>
  <c r="X36" i="3"/>
  <c r="N51" i="16" s="1"/>
  <c r="X23" i="3"/>
  <c r="X24" i="3"/>
  <c r="X25" i="3"/>
  <c r="X26" i="3"/>
  <c r="D44" i="4"/>
  <c r="G44" i="4" s="1"/>
  <c r="K37" i="3"/>
  <c r="S37" i="3"/>
  <c r="R37" i="3"/>
  <c r="Q37" i="3"/>
  <c r="P37" i="3"/>
  <c r="O37" i="3"/>
  <c r="N37" i="3"/>
  <c r="M37" i="3"/>
  <c r="L37" i="3"/>
  <c r="J37" i="3"/>
  <c r="I37" i="3"/>
  <c r="C37" i="3"/>
  <c r="S27" i="3"/>
  <c r="R27" i="3"/>
  <c r="Q27" i="3"/>
  <c r="P27" i="3"/>
  <c r="O27" i="3"/>
  <c r="N27" i="3"/>
  <c r="M27" i="3"/>
  <c r="L27" i="3"/>
  <c r="K27" i="3"/>
  <c r="J27" i="3"/>
  <c r="Y47" i="7" s="1"/>
  <c r="Y48" i="7" s="1"/>
  <c r="I27" i="3"/>
  <c r="C27" i="3"/>
  <c r="G42" i="4" l="1"/>
  <c r="W42" i="4" s="1"/>
  <c r="T42" i="4" s="1"/>
  <c r="P32" i="11"/>
  <c r="Y47" i="11"/>
  <c r="Y49" i="11" s="1"/>
  <c r="P32" i="8"/>
  <c r="Y47" i="8"/>
  <c r="U44" i="4"/>
  <c r="W44" i="4"/>
  <c r="P32" i="1"/>
  <c r="Y45" i="4"/>
  <c r="D37" i="18"/>
  <c r="J53" i="1"/>
  <c r="T29" i="4"/>
  <c r="O45" i="10"/>
  <c r="O45" i="9"/>
  <c r="O45" i="7"/>
  <c r="O45" i="15"/>
  <c r="O45" i="14"/>
  <c r="O45" i="12"/>
  <c r="O45" i="11"/>
  <c r="O45" i="13"/>
  <c r="O45" i="8"/>
  <c r="P32" i="16"/>
  <c r="P32" i="15"/>
  <c r="P30" i="16"/>
  <c r="P30" i="15"/>
  <c r="U64" i="8"/>
  <c r="P26" i="8"/>
  <c r="P28" i="8"/>
  <c r="N47" i="16"/>
  <c r="N32" i="16" s="1"/>
  <c r="O46" i="10"/>
  <c r="O46" i="11"/>
  <c r="O46" i="8"/>
  <c r="O46" i="9"/>
  <c r="O46" i="15"/>
  <c r="O46" i="14"/>
  <c r="O46" i="13"/>
  <c r="O46" i="12"/>
  <c r="O46" i="7"/>
  <c r="U64" i="16"/>
  <c r="U64" i="15"/>
  <c r="P28" i="16"/>
  <c r="P28" i="15"/>
  <c r="P26" i="15"/>
  <c r="P26" i="16" s="1"/>
  <c r="Y47" i="15"/>
  <c r="U64" i="11"/>
  <c r="P28" i="11"/>
  <c r="P26" i="11"/>
  <c r="U64" i="17"/>
  <c r="P26" i="17"/>
  <c r="P28" i="17"/>
  <c r="Y47" i="17"/>
  <c r="O43" i="10"/>
  <c r="M42" i="16"/>
  <c r="O43" i="15"/>
  <c r="O43" i="14"/>
  <c r="O43" i="13"/>
  <c r="O43" i="12"/>
  <c r="O43" i="9"/>
  <c r="O43" i="11"/>
  <c r="O43" i="8"/>
  <c r="O43" i="7"/>
  <c r="M42" i="1"/>
  <c r="O48" i="10"/>
  <c r="O48" i="9"/>
  <c r="O48" i="8"/>
  <c r="O48" i="12"/>
  <c r="O48" i="17"/>
  <c r="O48" i="14"/>
  <c r="O48" i="11"/>
  <c r="O48" i="7"/>
  <c r="O48" i="15"/>
  <c r="O48" i="13"/>
  <c r="O50" i="9"/>
  <c r="O50" i="10"/>
  <c r="O50" i="17"/>
  <c r="O50" i="11"/>
  <c r="O50" i="15"/>
  <c r="O50" i="13"/>
  <c r="O50" i="12"/>
  <c r="O50" i="8"/>
  <c r="O50" i="14"/>
  <c r="O50" i="7"/>
  <c r="U64" i="14"/>
  <c r="P26" i="14"/>
  <c r="P28" i="14"/>
  <c r="Y47" i="14"/>
  <c r="U64" i="10"/>
  <c r="P26" i="10"/>
  <c r="P28" i="10"/>
  <c r="Y47" i="10"/>
  <c r="U64" i="7"/>
  <c r="U66" i="7"/>
  <c r="P26" i="7"/>
  <c r="P28" i="7"/>
  <c r="U64" i="12"/>
  <c r="P28" i="12"/>
  <c r="P26" i="12"/>
  <c r="Y47" i="12"/>
  <c r="O44" i="10"/>
  <c r="O44" i="8"/>
  <c r="O44" i="11"/>
  <c r="O44" i="14"/>
  <c r="O44" i="9"/>
  <c r="O44" i="7"/>
  <c r="O44" i="15"/>
  <c r="O44" i="13"/>
  <c r="O44" i="12"/>
  <c r="O49" i="14"/>
  <c r="O49" i="11"/>
  <c r="O49" i="17"/>
  <c r="O49" i="7"/>
  <c r="O49" i="13"/>
  <c r="O49" i="8"/>
  <c r="O49" i="9"/>
  <c r="O49" i="15"/>
  <c r="O49" i="12"/>
  <c r="O49" i="10"/>
  <c r="O51" i="15"/>
  <c r="O51" i="13"/>
  <c r="O51" i="12"/>
  <c r="O51" i="11"/>
  <c r="O51" i="9"/>
  <c r="O51" i="10"/>
  <c r="O51" i="8"/>
  <c r="O51" i="17"/>
  <c r="O51" i="14"/>
  <c r="O51" i="7"/>
  <c r="U64" i="13"/>
  <c r="P28" i="13"/>
  <c r="P26" i="13"/>
  <c r="Y47" i="13"/>
  <c r="U64" i="9"/>
  <c r="P28" i="9"/>
  <c r="U64" i="5"/>
  <c r="Y47" i="5"/>
  <c r="O37" i="18"/>
  <c r="P37" i="18"/>
  <c r="E37" i="18"/>
  <c r="F37" i="18" s="1"/>
  <c r="H37" i="18" s="1"/>
  <c r="C38" i="18" s="1"/>
  <c r="P26" i="9"/>
  <c r="Y47" i="9"/>
  <c r="P32" i="9"/>
  <c r="E50" i="9"/>
  <c r="E50" i="1"/>
  <c r="M43" i="17"/>
  <c r="M42" i="17"/>
  <c r="O43" i="5"/>
  <c r="O43" i="17"/>
  <c r="M47" i="17"/>
  <c r="M48" i="17"/>
  <c r="O48" i="5"/>
  <c r="O50" i="5"/>
  <c r="M50" i="17"/>
  <c r="O44" i="5"/>
  <c r="O44" i="17"/>
  <c r="M44" i="17"/>
  <c r="M49" i="17"/>
  <c r="O49" i="5"/>
  <c r="O51" i="5"/>
  <c r="M51" i="17"/>
  <c r="P26" i="5"/>
  <c r="P28" i="5"/>
  <c r="M45" i="17"/>
  <c r="O45" i="17"/>
  <c r="O45" i="5"/>
  <c r="U64" i="1"/>
  <c r="O46" i="17"/>
  <c r="O46" i="5"/>
  <c r="M46" i="17"/>
  <c r="T25" i="4"/>
  <c r="M47" i="15"/>
  <c r="M48" i="15"/>
  <c r="M44" i="15"/>
  <c r="M49" i="15"/>
  <c r="M51" i="15"/>
  <c r="M50" i="15"/>
  <c r="M45" i="15"/>
  <c r="M43" i="15"/>
  <c r="M42" i="15"/>
  <c r="M46" i="15"/>
  <c r="M43" i="14"/>
  <c r="M42" i="14"/>
  <c r="M47" i="14"/>
  <c r="M48" i="14"/>
  <c r="M50" i="14"/>
  <c r="M44" i="14"/>
  <c r="M49" i="14"/>
  <c r="M51" i="14"/>
  <c r="M45" i="14"/>
  <c r="M46" i="14"/>
  <c r="M50" i="13"/>
  <c r="M44" i="13"/>
  <c r="M51" i="13"/>
  <c r="M45" i="13"/>
  <c r="M43" i="13"/>
  <c r="M42" i="13"/>
  <c r="M47" i="13"/>
  <c r="M48" i="13"/>
  <c r="M49" i="13"/>
  <c r="M46" i="13"/>
  <c r="M43" i="12"/>
  <c r="M42" i="12"/>
  <c r="M47" i="12"/>
  <c r="M48" i="12"/>
  <c r="M50" i="12"/>
  <c r="M44" i="12"/>
  <c r="M49" i="12"/>
  <c r="M51" i="12"/>
  <c r="M45" i="12"/>
  <c r="M46" i="12"/>
  <c r="M43" i="11"/>
  <c r="M42" i="11"/>
  <c r="M47" i="11"/>
  <c r="M48" i="11"/>
  <c r="M50" i="11"/>
  <c r="M44" i="11"/>
  <c r="M49" i="11"/>
  <c r="M51" i="11"/>
  <c r="M45" i="11"/>
  <c r="M46" i="11"/>
  <c r="M46" i="10"/>
  <c r="M43" i="10"/>
  <c r="M42" i="10"/>
  <c r="M47" i="10"/>
  <c r="M48" i="10"/>
  <c r="M44" i="10"/>
  <c r="M49" i="10"/>
  <c r="M51" i="10"/>
  <c r="M50" i="10"/>
  <c r="M45" i="10"/>
  <c r="M43" i="9"/>
  <c r="M42" i="9"/>
  <c r="M48" i="9"/>
  <c r="M47" i="9"/>
  <c r="M44" i="9"/>
  <c r="M49" i="9"/>
  <c r="M51" i="9"/>
  <c r="M46" i="9"/>
  <c r="M50" i="9"/>
  <c r="M45" i="9"/>
  <c r="M50" i="8"/>
  <c r="M44" i="8"/>
  <c r="M49" i="8"/>
  <c r="M51" i="8"/>
  <c r="M46" i="8"/>
  <c r="M43" i="8"/>
  <c r="M42" i="8"/>
  <c r="M48" i="8"/>
  <c r="M47" i="8"/>
  <c r="T36" i="4"/>
  <c r="M45" i="8"/>
  <c r="M44" i="7"/>
  <c r="X27" i="3"/>
  <c r="X37" i="3"/>
  <c r="M43" i="7"/>
  <c r="M42" i="7"/>
  <c r="M48" i="7"/>
  <c r="M47" i="7"/>
  <c r="M50" i="7"/>
  <c r="M49" i="7"/>
  <c r="M45" i="7"/>
  <c r="M51" i="7"/>
  <c r="Y47" i="1"/>
  <c r="M46" i="7"/>
  <c r="Y37" i="4"/>
  <c r="X39" i="4"/>
  <c r="X31" i="4"/>
  <c r="Y26" i="4"/>
  <c r="M49" i="5"/>
  <c r="M49" i="1"/>
  <c r="U34" i="3"/>
  <c r="W34" i="3"/>
  <c r="O49" i="1"/>
  <c r="U28" i="4"/>
  <c r="W28" i="4"/>
  <c r="T28" i="4" s="1"/>
  <c r="U26" i="4"/>
  <c r="W26" i="4"/>
  <c r="T26" i="4" s="1"/>
  <c r="U35" i="4"/>
  <c r="W35" i="4"/>
  <c r="T35" i="4" s="1"/>
  <c r="W46" i="4"/>
  <c r="T46" i="4" s="1"/>
  <c r="U46" i="4"/>
  <c r="M45" i="5"/>
  <c r="O45" i="1"/>
  <c r="W25" i="3"/>
  <c r="U25" i="3"/>
  <c r="N45" i="16" s="1"/>
  <c r="M45" i="1"/>
  <c r="U37" i="4"/>
  <c r="W37" i="4"/>
  <c r="T37" i="4" s="1"/>
  <c r="M44" i="5"/>
  <c r="W24" i="3"/>
  <c r="U24" i="3"/>
  <c r="N44" i="16" s="1"/>
  <c r="O44" i="1"/>
  <c r="M44" i="1"/>
  <c r="W38" i="4"/>
  <c r="T38" i="4" s="1"/>
  <c r="U38" i="4"/>
  <c r="T44" i="4"/>
  <c r="W43" i="4"/>
  <c r="T43" i="4" s="1"/>
  <c r="U43" i="4"/>
  <c r="M46" i="5"/>
  <c r="W26" i="3"/>
  <c r="M46" i="16" s="1"/>
  <c r="O46" i="1"/>
  <c r="M46" i="1"/>
  <c r="U26" i="3"/>
  <c r="N46" i="16" s="1"/>
  <c r="U30" i="4"/>
  <c r="W30" i="4"/>
  <c r="T30" i="4" s="1"/>
  <c r="U23" i="4"/>
  <c r="W23" i="4"/>
  <c r="M51" i="5"/>
  <c r="W36" i="3"/>
  <c r="U36" i="3"/>
  <c r="O51" i="1"/>
  <c r="M51" i="1"/>
  <c r="U24" i="4"/>
  <c r="W24" i="4"/>
  <c r="T24" i="4" s="1"/>
  <c r="U27" i="4"/>
  <c r="W27" i="4"/>
  <c r="T27" i="4" s="1"/>
  <c r="U34" i="4"/>
  <c r="W34" i="4"/>
  <c r="T34" i="4" s="1"/>
  <c r="W45" i="4"/>
  <c r="T45" i="4" s="1"/>
  <c r="U45" i="4"/>
  <c r="M43" i="5"/>
  <c r="M42" i="5"/>
  <c r="M43" i="1"/>
  <c r="U23" i="3"/>
  <c r="N43" i="16" s="1"/>
  <c r="W23" i="3"/>
  <c r="O43" i="1"/>
  <c r="O42" i="1" s="1"/>
  <c r="M48" i="5"/>
  <c r="M47" i="5"/>
  <c r="W33" i="3"/>
  <c r="M48" i="1"/>
  <c r="U33" i="3"/>
  <c r="M47" i="1"/>
  <c r="O48" i="1"/>
  <c r="M50" i="5"/>
  <c r="O50" i="1"/>
  <c r="W35" i="3"/>
  <c r="M50" i="1"/>
  <c r="U35" i="3"/>
  <c r="U29" i="4"/>
  <c r="V34" i="4"/>
  <c r="V39" i="4" s="1"/>
  <c r="U25" i="4"/>
  <c r="V23" i="4"/>
  <c r="V31" i="4" s="1"/>
  <c r="U36" i="4"/>
  <c r="U42" i="4"/>
  <c r="X47" i="4"/>
  <c r="B33" i="1"/>
  <c r="P26" i="1"/>
  <c r="P30" i="1"/>
  <c r="G32" i="1"/>
  <c r="Y49" i="8" l="1"/>
  <c r="Y48" i="8"/>
  <c r="Y48" i="15"/>
  <c r="Y49" i="15"/>
  <c r="V42" i="15" s="1"/>
  <c r="X42" i="15" s="1"/>
  <c r="Y48" i="14"/>
  <c r="Y49" i="14"/>
  <c r="V42" i="14" s="1"/>
  <c r="X42" i="14" s="1"/>
  <c r="Y49" i="13"/>
  <c r="V42" i="13" s="1"/>
  <c r="X42" i="13" s="1"/>
  <c r="Y48" i="13"/>
  <c r="Y48" i="12"/>
  <c r="Y49" i="12"/>
  <c r="V42" i="12" s="1"/>
  <c r="X42" i="12" s="1"/>
  <c r="Y49" i="10"/>
  <c r="V42" i="10" s="1"/>
  <c r="X42" i="10" s="1"/>
  <c r="Y48" i="10"/>
  <c r="Y49" i="9"/>
  <c r="V42" i="9" s="1"/>
  <c r="X42" i="9" s="1"/>
  <c r="Y48" i="9"/>
  <c r="Y48" i="17"/>
  <c r="Y49" i="17"/>
  <c r="V42" i="17" s="1"/>
  <c r="X42" i="17" s="1"/>
  <c r="Y48" i="5"/>
  <c r="Y49" i="5"/>
  <c r="V42" i="5" s="1"/>
  <c r="X42" i="5" s="1"/>
  <c r="Y49" i="1"/>
  <c r="V42" i="1" s="1"/>
  <c r="X42" i="1" s="1"/>
  <c r="Y48" i="1"/>
  <c r="D33" i="1" s="1"/>
  <c r="O42" i="8"/>
  <c r="O42" i="11"/>
  <c r="D38" i="18"/>
  <c r="E38" i="18" s="1"/>
  <c r="F38" i="18" s="1"/>
  <c r="H38" i="18" s="1"/>
  <c r="C39" i="18" s="1"/>
  <c r="N42" i="16"/>
  <c r="N30" i="16" s="1"/>
  <c r="O47" i="14"/>
  <c r="O47" i="9"/>
  <c r="O42" i="13"/>
  <c r="O47" i="13"/>
  <c r="O42" i="10"/>
  <c r="V25" i="3"/>
  <c r="M45" i="16"/>
  <c r="O45" i="16"/>
  <c r="O47" i="15"/>
  <c r="O47" i="17"/>
  <c r="O47" i="10"/>
  <c r="O42" i="14"/>
  <c r="O47" i="7"/>
  <c r="O47" i="12"/>
  <c r="O42" i="9"/>
  <c r="O42" i="15"/>
  <c r="V35" i="3"/>
  <c r="O50" i="16"/>
  <c r="M50" i="16"/>
  <c r="O47" i="5"/>
  <c r="O49" i="16"/>
  <c r="M49" i="16"/>
  <c r="O48" i="16"/>
  <c r="M48" i="16"/>
  <c r="O46" i="16"/>
  <c r="O43" i="16"/>
  <c r="M43" i="16"/>
  <c r="V36" i="3"/>
  <c r="O51" i="16"/>
  <c r="M51" i="16"/>
  <c r="V24" i="3"/>
  <c r="M44" i="16"/>
  <c r="O44" i="16"/>
  <c r="V42" i="8"/>
  <c r="X42" i="8" s="1"/>
  <c r="O42" i="17"/>
  <c r="O47" i="11"/>
  <c r="O47" i="8"/>
  <c r="O42" i="7"/>
  <c r="O42" i="12"/>
  <c r="Q37" i="18"/>
  <c r="R37" i="18" s="1"/>
  <c r="T37" i="18" s="1"/>
  <c r="O42" i="5"/>
  <c r="V47" i="4"/>
  <c r="T24" i="3"/>
  <c r="T47" i="4"/>
  <c r="AE27" i="4" s="1"/>
  <c r="U47" i="4"/>
  <c r="T25" i="3"/>
  <c r="T39" i="4"/>
  <c r="AD27" i="4" s="1"/>
  <c r="W39" i="4"/>
  <c r="U37" i="3"/>
  <c r="T26" i="3"/>
  <c r="V26" i="3"/>
  <c r="U27" i="3"/>
  <c r="U39" i="4"/>
  <c r="W31" i="4"/>
  <c r="T23" i="4"/>
  <c r="T31" i="4" s="1"/>
  <c r="O47" i="1"/>
  <c r="T33" i="3"/>
  <c r="W37" i="3"/>
  <c r="V33" i="3"/>
  <c r="U31" i="4"/>
  <c r="V34" i="3"/>
  <c r="T34" i="3"/>
  <c r="W27" i="3"/>
  <c r="T23" i="3"/>
  <c r="V23" i="3"/>
  <c r="T35" i="3"/>
  <c r="W47" i="4"/>
  <c r="T36" i="3"/>
  <c r="Y47" i="16" l="1"/>
  <c r="Y49" i="16" s="1"/>
  <c r="V42" i="16" s="1"/>
  <c r="X42" i="16" s="1"/>
  <c r="M47" i="16"/>
  <c r="O47" i="16"/>
  <c r="O42" i="16"/>
  <c r="P38" i="18"/>
  <c r="O38" i="18"/>
  <c r="D39" i="18"/>
  <c r="E39" i="18" s="1"/>
  <c r="F39" i="18" s="1"/>
  <c r="H39" i="18" s="1"/>
  <c r="D40" i="18" s="1"/>
  <c r="AE26" i="4"/>
  <c r="AD26" i="4"/>
  <c r="V27" i="3"/>
  <c r="T37" i="3"/>
  <c r="AD24" i="3" s="1"/>
  <c r="AD25" i="3" s="1"/>
  <c r="T27" i="3"/>
  <c r="AB24" i="3" s="1"/>
  <c r="AB25" i="3" s="1"/>
  <c r="V37" i="3"/>
  <c r="AC27" i="4"/>
  <c r="AC26" i="4"/>
  <c r="Y48" i="16" l="1"/>
  <c r="Q38" i="18"/>
  <c r="R38" i="18" s="1"/>
  <c r="T38" i="18" s="1"/>
  <c r="P39" i="18" s="1"/>
  <c r="C40" i="18"/>
  <c r="E40" i="18" s="1"/>
  <c r="F40" i="18" s="1"/>
  <c r="H40" i="18" s="1"/>
  <c r="D41" i="18" s="1"/>
  <c r="O39" i="18" l="1"/>
  <c r="Q39" i="18" s="1"/>
  <c r="R39" i="18" s="1"/>
  <c r="T39" i="18" s="1"/>
  <c r="P40" i="18" s="1"/>
  <c r="C41" i="18"/>
  <c r="E41" i="18" s="1"/>
  <c r="F41" i="18" s="1"/>
  <c r="H41" i="18" s="1"/>
  <c r="C42" i="18" s="1"/>
  <c r="O40" i="18" l="1"/>
  <c r="Q40" i="18" s="1"/>
  <c r="R40" i="18" s="1"/>
  <c r="T40" i="18" s="1"/>
  <c r="D42" i="18"/>
  <c r="E42" i="18" s="1"/>
  <c r="F42" i="18" s="1"/>
  <c r="H42" i="18" s="1"/>
  <c r="O41" i="18" l="1"/>
  <c r="P41" i="18"/>
  <c r="D43" i="18"/>
  <c r="C43" i="18"/>
  <c r="E43" i="18" l="1"/>
  <c r="F43" i="18" s="1"/>
  <c r="H43" i="18" s="1"/>
  <c r="D44" i="18" s="1"/>
  <c r="Q41" i="18"/>
  <c r="R41" i="18" s="1"/>
  <c r="T41" i="18" s="1"/>
  <c r="O42" i="18" s="1"/>
  <c r="C44" i="18"/>
  <c r="P42" i="18" l="1"/>
  <c r="Q42" i="18" s="1"/>
  <c r="R42" i="18" s="1"/>
  <c r="T42" i="18" s="1"/>
  <c r="E44" i="18"/>
  <c r="F44" i="18" s="1"/>
  <c r="H44" i="18" s="1"/>
  <c r="O43" i="18" l="1"/>
  <c r="P43" i="18"/>
  <c r="D45" i="18"/>
  <c r="C45" i="18"/>
  <c r="Q43" i="18" l="1"/>
  <c r="R43" i="18" s="1"/>
  <c r="T43" i="18" s="1"/>
  <c r="P44" i="18" s="1"/>
  <c r="E45" i="18"/>
  <c r="F45" i="18" s="1"/>
  <c r="H45" i="18" s="1"/>
  <c r="O44" i="18" l="1"/>
  <c r="Q44" i="18" s="1"/>
  <c r="R44" i="18" s="1"/>
  <c r="T44" i="18" s="1"/>
  <c r="O45" i="18" s="1"/>
  <c r="C46" i="18"/>
  <c r="D46" i="18"/>
  <c r="P45" i="18" l="1"/>
  <c r="Q45" i="18" s="1"/>
  <c r="R45" i="18" s="1"/>
  <c r="T45" i="18" s="1"/>
  <c r="E46" i="18"/>
  <c r="F46" i="18" s="1"/>
  <c r="H46" i="18" s="1"/>
  <c r="O46" i="18" l="1"/>
  <c r="P46" i="18"/>
  <c r="C47" i="18"/>
  <c r="D47" i="18"/>
  <c r="Q46" i="18" l="1"/>
  <c r="R46" i="18" s="1"/>
  <c r="T46" i="18" s="1"/>
  <c r="E47" i="18"/>
  <c r="F47" i="18" s="1"/>
  <c r="H47" i="18" s="1"/>
  <c r="C48" i="18" s="1"/>
  <c r="P47" i="18" l="1"/>
  <c r="O47" i="18"/>
  <c r="D48" i="18"/>
  <c r="E48" i="18" s="1"/>
  <c r="F48" i="18" s="1"/>
  <c r="H48" i="18" s="1"/>
  <c r="D49" i="18" s="1"/>
  <c r="Q47" i="18" l="1"/>
  <c r="R47" i="18" s="1"/>
  <c r="T47" i="18" s="1"/>
  <c r="C49" i="18"/>
  <c r="E49" i="18" s="1"/>
  <c r="F49" i="18" s="1"/>
  <c r="H49" i="18" s="1"/>
  <c r="C50" i="18" s="1"/>
  <c r="P48" i="18" l="1"/>
  <c r="O48" i="18"/>
  <c r="D50" i="18"/>
  <c r="E50" i="18" s="1"/>
  <c r="F50" i="18" s="1"/>
  <c r="H50" i="18" s="1"/>
  <c r="Q48" i="18" l="1"/>
  <c r="R48" i="18" s="1"/>
  <c r="T48" i="18" s="1"/>
  <c r="P49" i="18" s="1"/>
  <c r="D51" i="18"/>
  <c r="C51" i="18"/>
  <c r="O49" i="18" l="1"/>
  <c r="Q49" i="18" s="1"/>
  <c r="R49" i="18" s="1"/>
  <c r="T49" i="18" s="1"/>
  <c r="O50" i="18" s="1"/>
  <c r="E51" i="18"/>
  <c r="F51" i="18" s="1"/>
  <c r="H51" i="18" s="1"/>
  <c r="P50" i="18" l="1"/>
  <c r="Q50" i="18" s="1"/>
  <c r="R50" i="18" s="1"/>
  <c r="T50" i="18" s="1"/>
  <c r="P51" i="18" s="1"/>
  <c r="D52" i="18"/>
  <c r="C52" i="18"/>
  <c r="O51" i="18" l="1"/>
  <c r="Q51" i="18" s="1"/>
  <c r="R51" i="18" s="1"/>
  <c r="T51" i="18" s="1"/>
  <c r="E52" i="18"/>
  <c r="F52" i="18" s="1"/>
  <c r="H52" i="18" s="1"/>
  <c r="P52" i="18" l="1"/>
  <c r="O52" i="18"/>
  <c r="D53" i="18"/>
  <c r="C53" i="18"/>
  <c r="E53" i="18" l="1"/>
  <c r="F53" i="18" s="1"/>
  <c r="H53" i="18" s="1"/>
  <c r="D54" i="18" s="1"/>
  <c r="Q52" i="18"/>
  <c r="R52" i="18" s="1"/>
  <c r="T52" i="18" s="1"/>
  <c r="C54" i="18" l="1"/>
  <c r="E54" i="18" s="1"/>
  <c r="F54" i="18" s="1"/>
  <c r="H54" i="18" s="1"/>
  <c r="O53" i="18"/>
  <c r="P53" i="18"/>
  <c r="D55" i="18" l="1"/>
  <c r="C55" i="18"/>
  <c r="E55" i="18" s="1"/>
  <c r="F55" i="18" s="1"/>
  <c r="H55" i="18" s="1"/>
  <c r="Q53" i="18"/>
  <c r="R53" i="18" s="1"/>
  <c r="T53" i="18" s="1"/>
  <c r="O54" i="18" s="1"/>
  <c r="P54" i="18" l="1"/>
  <c r="Q54" i="18" s="1"/>
  <c r="R54" i="18" s="1"/>
  <c r="T54" i="18" s="1"/>
  <c r="D56" i="18"/>
  <c r="C56" i="18"/>
  <c r="E56" i="18" s="1"/>
  <c r="F56" i="18" s="1"/>
  <c r="H56" i="18" s="1"/>
  <c r="O55" i="18" l="1"/>
  <c r="P55" i="18"/>
  <c r="D57" i="18"/>
  <c r="C57" i="18"/>
  <c r="E57" i="18" l="1"/>
  <c r="F57" i="18" s="1"/>
  <c r="H57" i="18" s="1"/>
  <c r="C58" i="18" s="1"/>
  <c r="Q55" i="18"/>
  <c r="R55" i="18" s="1"/>
  <c r="T55" i="18" s="1"/>
  <c r="O56" i="18" s="1"/>
  <c r="P56" i="18" l="1"/>
  <c r="D58" i="18"/>
  <c r="E58" i="18" s="1"/>
  <c r="F58" i="18" s="1"/>
  <c r="H58" i="18" s="1"/>
  <c r="Q56" i="18"/>
  <c r="R56" i="18" s="1"/>
  <c r="T56" i="18" s="1"/>
  <c r="O57" i="18" l="1"/>
  <c r="P57" i="18"/>
  <c r="C59" i="18"/>
  <c r="D59" i="18"/>
  <c r="Q57" i="18" l="1"/>
  <c r="R57" i="18" s="1"/>
  <c r="T57" i="18" s="1"/>
  <c r="P58" i="18" s="1"/>
  <c r="E59" i="18"/>
  <c r="F59" i="18" s="1"/>
  <c r="H59" i="18" s="1"/>
  <c r="O58" i="18" l="1"/>
  <c r="Q58" i="18" s="1"/>
  <c r="R58" i="18" s="1"/>
  <c r="T58" i="18" s="1"/>
  <c r="O59" i="18" s="1"/>
  <c r="D60" i="18"/>
  <c r="C60" i="18"/>
  <c r="P59" i="18" l="1"/>
  <c r="Q59" i="18" s="1"/>
  <c r="R59" i="18" s="1"/>
  <c r="T59" i="18" s="1"/>
  <c r="E60" i="18"/>
  <c r="F60" i="18" s="1"/>
  <c r="H60" i="18" s="1"/>
  <c r="D61" i="18" s="1"/>
  <c r="O60" i="18" l="1"/>
  <c r="P60" i="18"/>
  <c r="C61" i="18"/>
  <c r="E61" i="18" s="1"/>
  <c r="F61" i="18" s="1"/>
  <c r="H61" i="18" s="1"/>
  <c r="C62" i="18" s="1"/>
  <c r="Q60" i="18" l="1"/>
  <c r="R60" i="18" s="1"/>
  <c r="T60" i="18" s="1"/>
  <c r="O61" i="18" s="1"/>
  <c r="D62" i="18"/>
  <c r="E62" i="18" s="1"/>
  <c r="F62" i="18" s="1"/>
  <c r="H62" i="18" s="1"/>
  <c r="P61" i="18" l="1"/>
  <c r="Q61" i="18" s="1"/>
  <c r="R61" i="18" s="1"/>
  <c r="T61" i="18" s="1"/>
  <c r="D63" i="18"/>
  <c r="C63" i="18"/>
  <c r="O62" i="18" l="1"/>
  <c r="P62" i="18"/>
  <c r="E63" i="18"/>
  <c r="F63" i="18" s="1"/>
  <c r="H63" i="18" s="1"/>
  <c r="Q62" i="18" l="1"/>
  <c r="R62" i="18" s="1"/>
  <c r="T62" i="18" s="1"/>
  <c r="C64" i="18"/>
  <c r="D64" i="18"/>
  <c r="P63" i="18" l="1"/>
  <c r="O63" i="18"/>
  <c r="E64" i="18"/>
  <c r="F64" i="18" s="1"/>
  <c r="H64" i="18" s="1"/>
  <c r="D65" i="18" s="1"/>
  <c r="Q63" i="18" l="1"/>
  <c r="R63" i="18" s="1"/>
  <c r="T63" i="18" s="1"/>
  <c r="C65" i="18"/>
  <c r="E65" i="18" s="1"/>
  <c r="F65" i="18" s="1"/>
  <c r="H65" i="18" s="1"/>
  <c r="C66" i="18" s="1"/>
  <c r="P64" i="18" l="1"/>
  <c r="O64" i="18"/>
  <c r="D66" i="18"/>
  <c r="E66" i="18" s="1"/>
  <c r="F66" i="18" s="1"/>
  <c r="H66" i="18" s="1"/>
  <c r="D67" i="18" s="1"/>
  <c r="Q64" i="18" l="1"/>
  <c r="R64" i="18" s="1"/>
  <c r="T64" i="18" s="1"/>
  <c r="C67" i="18"/>
  <c r="E67" i="18" s="1"/>
  <c r="F67" i="18" s="1"/>
  <c r="H67" i="18" s="1"/>
  <c r="O65" i="18" l="1"/>
  <c r="P65" i="18"/>
  <c r="D68" i="18"/>
  <c r="C68" i="18"/>
  <c r="E68" i="18" s="1"/>
  <c r="F68" i="18" s="1"/>
  <c r="H68" i="18" s="1"/>
  <c r="Q65" i="18" l="1"/>
  <c r="R65" i="18" s="1"/>
  <c r="T65" i="18" s="1"/>
  <c r="D69" i="18"/>
  <c r="C69" i="18"/>
  <c r="E69" i="18" s="1"/>
  <c r="F69" i="18" s="1"/>
  <c r="H69" i="18" s="1"/>
  <c r="C70" i="18" s="1"/>
  <c r="P66" i="18" l="1"/>
  <c r="O66" i="18"/>
  <c r="D70" i="18"/>
  <c r="E70" i="18" s="1"/>
  <c r="F70" i="18" s="1"/>
  <c r="H70" i="18" s="1"/>
  <c r="Q66" i="18" l="1"/>
  <c r="R66" i="18" s="1"/>
  <c r="T66" i="18" s="1"/>
  <c r="D71" i="18"/>
  <c r="C71" i="18"/>
  <c r="O67" i="18" l="1"/>
  <c r="P67" i="18"/>
  <c r="E71" i="18"/>
  <c r="F71" i="18" s="1"/>
  <c r="H71" i="18" s="1"/>
  <c r="D72" i="18" s="1"/>
  <c r="C72" i="18" l="1"/>
  <c r="Q67" i="18"/>
  <c r="R67" i="18" s="1"/>
  <c r="T67" i="18" s="1"/>
  <c r="E72" i="18"/>
  <c r="F72" i="18" s="1"/>
  <c r="H72" i="18" s="1"/>
  <c r="C73" i="18" s="1"/>
  <c r="O68" i="18" l="1"/>
  <c r="Q68" i="18" s="1"/>
  <c r="R68" i="18" s="1"/>
  <c r="T68" i="18" s="1"/>
  <c r="P68" i="18"/>
  <c r="D73" i="18"/>
  <c r="E73" i="18" s="1"/>
  <c r="F73" i="18" s="1"/>
  <c r="H73" i="18" s="1"/>
  <c r="O69" i="18" l="1"/>
  <c r="P69" i="18"/>
  <c r="C74" i="18"/>
  <c r="D74" i="18"/>
  <c r="E74" i="18" l="1"/>
  <c r="F74" i="18" s="1"/>
  <c r="H74" i="18" s="1"/>
  <c r="C75" i="18" s="1"/>
  <c r="Q69" i="18"/>
  <c r="R69" i="18" s="1"/>
  <c r="T69" i="18" s="1"/>
  <c r="D75" i="18" l="1"/>
  <c r="P70" i="18"/>
  <c r="O70" i="18"/>
  <c r="E75" i="18"/>
  <c r="F75" i="18" s="1"/>
  <c r="H75" i="18" s="1"/>
  <c r="Q70" i="18" l="1"/>
  <c r="R70" i="18" s="1"/>
  <c r="T70" i="18" s="1"/>
  <c r="D76" i="18"/>
  <c r="C76" i="18"/>
  <c r="O71" i="18" l="1"/>
  <c r="Q71" i="18" s="1"/>
  <c r="R71" i="18" s="1"/>
  <c r="T71" i="18" s="1"/>
  <c r="P71" i="18"/>
  <c r="E76" i="18"/>
  <c r="F76" i="18" s="1"/>
  <c r="H76" i="18" s="1"/>
  <c r="C77" i="18" s="1"/>
  <c r="O72" i="18" l="1"/>
  <c r="P72" i="18"/>
  <c r="D77" i="18"/>
  <c r="E77" i="18" s="1"/>
  <c r="F77" i="18" s="1"/>
  <c r="H77" i="18" s="1"/>
  <c r="Q72" i="18" l="1"/>
  <c r="R72" i="18" s="1"/>
  <c r="T72" i="18" s="1"/>
  <c r="D78" i="18"/>
  <c r="C78" i="18"/>
  <c r="E78" i="18" s="1"/>
  <c r="F78" i="18" s="1"/>
  <c r="H78" i="18" s="1"/>
  <c r="C79" i="18" s="1"/>
  <c r="O73" i="18" l="1"/>
  <c r="P73" i="18"/>
  <c r="D79" i="18"/>
  <c r="E79" i="18" s="1"/>
  <c r="F79" i="18" s="1"/>
  <c r="H79" i="18" s="1"/>
  <c r="Q73" i="18" l="1"/>
  <c r="R73" i="18" s="1"/>
  <c r="T73" i="18" s="1"/>
  <c r="O74" i="18" s="1"/>
  <c r="D80" i="18"/>
  <c r="C80" i="18"/>
  <c r="P74" i="18" l="1"/>
  <c r="Q74" i="18" s="1"/>
  <c r="R74" i="18" s="1"/>
  <c r="T74" i="18" s="1"/>
  <c r="E80" i="18"/>
  <c r="F80" i="18" s="1"/>
  <c r="H80" i="18" s="1"/>
  <c r="D81" i="18" s="1"/>
  <c r="C81" i="18" l="1"/>
  <c r="E81" i="18" s="1"/>
  <c r="F81" i="18" s="1"/>
  <c r="H81" i="18" s="1"/>
  <c r="C82" i="18" s="1"/>
  <c r="P75" i="18"/>
  <c r="O75" i="18"/>
  <c r="Q75" i="18" l="1"/>
  <c r="R75" i="18" s="1"/>
  <c r="T75" i="18" s="1"/>
  <c r="D82" i="18"/>
  <c r="E82" i="18" s="1"/>
  <c r="F82" i="18" s="1"/>
  <c r="H82" i="18" s="1"/>
  <c r="P76" i="18" l="1"/>
  <c r="O76" i="18"/>
  <c r="C83" i="18"/>
  <c r="D83" i="18"/>
  <c r="Q76" i="18" l="1"/>
  <c r="R76" i="18" s="1"/>
  <c r="T76" i="18" s="1"/>
  <c r="E83" i="18"/>
  <c r="F83" i="18" s="1"/>
  <c r="H83" i="18" s="1"/>
  <c r="D84" i="18" s="1"/>
  <c r="O77" i="18" l="1"/>
  <c r="Q77" i="18" s="1"/>
  <c r="R77" i="18" s="1"/>
  <c r="T77" i="18" s="1"/>
  <c r="P77" i="18"/>
  <c r="C84" i="18"/>
  <c r="E84" i="18" s="1"/>
  <c r="F84" i="18" s="1"/>
  <c r="H84" i="18" s="1"/>
  <c r="P78" i="18" l="1"/>
  <c r="O78" i="18"/>
  <c r="C85" i="18"/>
  <c r="D85" i="18"/>
  <c r="Q78" i="18" l="1"/>
  <c r="R78" i="18" s="1"/>
  <c r="T78" i="18" s="1"/>
  <c r="E85" i="18"/>
  <c r="F85" i="18" s="1"/>
  <c r="H85" i="18" s="1"/>
  <c r="P79" i="18" l="1"/>
  <c r="O79" i="18"/>
  <c r="D86" i="18"/>
  <c r="C86" i="18"/>
  <c r="Q79" i="18" l="1"/>
  <c r="R79" i="18" s="1"/>
  <c r="T79" i="18" s="1"/>
  <c r="E86" i="18"/>
  <c r="F86" i="18" s="1"/>
  <c r="H86" i="18" s="1"/>
  <c r="D87" i="18" s="1"/>
  <c r="P80" i="18" l="1"/>
  <c r="O80" i="18"/>
  <c r="C87" i="18"/>
  <c r="E87" i="18" s="1"/>
  <c r="F87" i="18" s="1"/>
  <c r="H87" i="18" s="1"/>
  <c r="Q80" i="18" l="1"/>
  <c r="R80" i="18" s="1"/>
  <c r="T80" i="18" s="1"/>
  <c r="D88" i="18"/>
  <c r="C88" i="18"/>
  <c r="P81" i="18" l="1"/>
  <c r="O81" i="18"/>
  <c r="E88" i="18"/>
  <c r="F88" i="18" s="1"/>
  <c r="H88" i="18" s="1"/>
  <c r="D89" i="18" s="1"/>
  <c r="Q81" i="18" l="1"/>
  <c r="R81" i="18" s="1"/>
  <c r="T81" i="18" s="1"/>
  <c r="C89" i="18"/>
  <c r="E89" i="18" s="1"/>
  <c r="F89" i="18" s="1"/>
  <c r="H89" i="18" s="1"/>
  <c r="C90" i="18" s="1"/>
  <c r="P82" i="18" l="1"/>
  <c r="O82" i="18"/>
  <c r="D90" i="18"/>
  <c r="E90" i="18" s="1"/>
  <c r="F90" i="18" s="1"/>
  <c r="H90" i="18" s="1"/>
  <c r="Q82" i="18" l="1"/>
  <c r="R82" i="18" s="1"/>
  <c r="T82" i="18" s="1"/>
  <c r="D91" i="18"/>
  <c r="C91" i="18"/>
  <c r="O83" i="18" l="1"/>
  <c r="P83" i="18"/>
  <c r="E91" i="18"/>
  <c r="F91" i="18" s="1"/>
  <c r="H91" i="18" s="1"/>
  <c r="D92" i="18" s="1"/>
  <c r="Q83" i="18" l="1"/>
  <c r="R83" i="18" s="1"/>
  <c r="T83" i="18" s="1"/>
  <c r="O84" i="18" s="1"/>
  <c r="C92" i="18"/>
  <c r="E92" i="18" s="1"/>
  <c r="F92" i="18" s="1"/>
  <c r="H92" i="18" s="1"/>
  <c r="D93" i="18" s="1"/>
  <c r="P84" i="18" l="1"/>
  <c r="Q84" i="18" s="1"/>
  <c r="R84" i="18" s="1"/>
  <c r="T84" i="18" s="1"/>
  <c r="C93" i="18"/>
  <c r="E93" i="18" s="1"/>
  <c r="F93" i="18" s="1"/>
  <c r="H93" i="18" s="1"/>
  <c r="O85" i="18" l="1"/>
  <c r="Q85" i="18" s="1"/>
  <c r="R85" i="18" s="1"/>
  <c r="T85" i="18" s="1"/>
  <c r="O86" i="18" s="1"/>
  <c r="P85" i="18"/>
  <c r="D94" i="18"/>
  <c r="C94" i="18"/>
  <c r="P86" i="18" l="1"/>
  <c r="Q86" i="18"/>
  <c r="R86" i="18" s="1"/>
  <c r="T86" i="18" s="1"/>
  <c r="E94" i="18"/>
  <c r="F94" i="18" s="1"/>
  <c r="H94" i="18" s="1"/>
  <c r="C95" i="18" s="1"/>
  <c r="O87" i="18" l="1"/>
  <c r="Q87" i="18" s="1"/>
  <c r="R87" i="18" s="1"/>
  <c r="T87" i="18" s="1"/>
  <c r="P87" i="18"/>
  <c r="D95" i="18"/>
  <c r="E95" i="18" s="1"/>
  <c r="F95" i="18" s="1"/>
  <c r="H95" i="18" s="1"/>
  <c r="C96" i="18" s="1"/>
  <c r="P88" i="18" l="1"/>
  <c r="O88" i="18"/>
  <c r="D96" i="18"/>
  <c r="E96" i="18" s="1"/>
  <c r="F96" i="18" s="1"/>
  <c r="H96" i="18" s="1"/>
  <c r="C97" i="18" s="1"/>
  <c r="Q88" i="18" l="1"/>
  <c r="R88" i="18" s="1"/>
  <c r="T88" i="18" s="1"/>
  <c r="D97" i="18"/>
  <c r="E97" i="18" s="1"/>
  <c r="F97" i="18" s="1"/>
  <c r="H97" i="18" s="1"/>
  <c r="D98" i="18" s="1"/>
  <c r="O89" i="18" l="1"/>
  <c r="Q89" i="18" s="1"/>
  <c r="R89" i="18" s="1"/>
  <c r="T89" i="18" s="1"/>
  <c r="P89" i="18"/>
  <c r="C98" i="18"/>
  <c r="E98" i="18" s="1"/>
  <c r="F98" i="18" s="1"/>
  <c r="H98" i="18" s="1"/>
  <c r="O90" i="18" l="1"/>
  <c r="P90" i="18"/>
  <c r="D99" i="18"/>
  <c r="C99" i="18"/>
  <c r="Q90" i="18" l="1"/>
  <c r="R90" i="18" s="1"/>
  <c r="T90" i="18" s="1"/>
  <c r="E99" i="18"/>
  <c r="F99" i="18" s="1"/>
  <c r="H99" i="18" s="1"/>
  <c r="C100" i="18" s="1"/>
  <c r="P91" i="18" l="1"/>
  <c r="O91" i="18"/>
  <c r="D100" i="18"/>
  <c r="E100" i="18" s="1"/>
  <c r="F100" i="18" s="1"/>
  <c r="H100" i="18" s="1"/>
  <c r="D101" i="18" s="1"/>
  <c r="Q91" i="18" l="1"/>
  <c r="R91" i="18" s="1"/>
  <c r="T91" i="18" s="1"/>
  <c r="C101" i="18"/>
  <c r="E101" i="18" s="1"/>
  <c r="F101" i="18" s="1"/>
  <c r="H101" i="18" s="1"/>
  <c r="C102" i="18" s="1"/>
  <c r="P92" i="18" l="1"/>
  <c r="O92" i="18"/>
  <c r="D102" i="18"/>
  <c r="E102" i="18" s="1"/>
  <c r="F102" i="18" s="1"/>
  <c r="H102" i="18" s="1"/>
  <c r="Q92" i="18" l="1"/>
  <c r="R92" i="18" s="1"/>
  <c r="T92" i="18" s="1"/>
  <c r="O93" i="18" s="1"/>
  <c r="C103" i="18"/>
  <c r="D103" i="18"/>
  <c r="P93" i="18" l="1"/>
  <c r="Q93" i="18" s="1"/>
  <c r="R93" i="18" s="1"/>
  <c r="T93" i="18" s="1"/>
  <c r="E103" i="18"/>
  <c r="F103" i="18" s="1"/>
  <c r="H103" i="18" s="1"/>
  <c r="D104" i="18" s="1"/>
  <c r="O94" i="18" l="1"/>
  <c r="P94" i="18"/>
  <c r="Q94" i="18" s="1"/>
  <c r="R94" i="18" s="1"/>
  <c r="T94" i="18" s="1"/>
  <c r="O95" i="18" s="1"/>
  <c r="C104" i="18"/>
  <c r="E104" i="18" s="1"/>
  <c r="F104" i="18" s="1"/>
  <c r="H104" i="18" s="1"/>
  <c r="C105" i="18" s="1"/>
  <c r="P95" i="18" l="1"/>
  <c r="Q95" i="18" s="1"/>
  <c r="R95" i="18" s="1"/>
  <c r="T95" i="18" s="1"/>
  <c r="D105" i="18"/>
  <c r="E105" i="18" s="1"/>
  <c r="F105" i="18" s="1"/>
  <c r="H105" i="18" s="1"/>
  <c r="O96" i="18" l="1"/>
  <c r="P96" i="18"/>
  <c r="C106" i="18"/>
  <c r="D106" i="18"/>
  <c r="Q96" i="18" l="1"/>
  <c r="R96" i="18" s="1"/>
  <c r="T96" i="18" s="1"/>
  <c r="E106" i="18"/>
  <c r="F106" i="18" s="1"/>
  <c r="H106" i="18" s="1"/>
  <c r="O97" i="18" l="1"/>
  <c r="P97" i="18"/>
  <c r="D107" i="18"/>
  <c r="C107" i="18"/>
  <c r="Q97" i="18" l="1"/>
  <c r="R97" i="18" s="1"/>
  <c r="T97" i="18" s="1"/>
  <c r="E107" i="18"/>
  <c r="F107" i="18" s="1"/>
  <c r="H107" i="18" s="1"/>
  <c r="C108" i="18" s="1"/>
  <c r="O98" i="18" l="1"/>
  <c r="P98" i="18"/>
  <c r="D108" i="18"/>
  <c r="E108" i="18" s="1"/>
  <c r="F108" i="18" s="1"/>
  <c r="H108" i="18" s="1"/>
  <c r="Q98" i="18" l="1"/>
  <c r="R98" i="18" s="1"/>
  <c r="T98" i="18" s="1"/>
  <c r="D109" i="18"/>
  <c r="C109" i="18"/>
  <c r="E109" i="18" l="1"/>
  <c r="F109" i="18" s="1"/>
  <c r="H109" i="18" s="1"/>
  <c r="C110" i="18" s="1"/>
  <c r="P99" i="18"/>
  <c r="O99" i="18"/>
  <c r="Q99" i="18" s="1"/>
  <c r="R99" i="18" s="1"/>
  <c r="T99" i="18" s="1"/>
  <c r="D110" i="18" l="1"/>
  <c r="E110" i="18" s="1"/>
  <c r="F110" i="18" s="1"/>
  <c r="H110" i="18" s="1"/>
  <c r="D111" i="18" s="1"/>
  <c r="P100" i="18"/>
  <c r="O100" i="18"/>
  <c r="Q100" i="18" s="1"/>
  <c r="R100" i="18" s="1"/>
  <c r="T100" i="18" s="1"/>
  <c r="C111" i="18" l="1"/>
  <c r="E111" i="18" s="1"/>
  <c r="F111" i="18" s="1"/>
  <c r="H111" i="18" s="1"/>
  <c r="C112" i="18" s="1"/>
  <c r="O101" i="18"/>
  <c r="P101" i="18"/>
  <c r="D112" i="18" l="1"/>
  <c r="E112" i="18" s="1"/>
  <c r="F112" i="18" s="1"/>
  <c r="H112" i="18" s="1"/>
  <c r="C113" i="18" s="1"/>
  <c r="Q101" i="18"/>
  <c r="R101" i="18" s="1"/>
  <c r="T101" i="18" s="1"/>
  <c r="P102" i="18" l="1"/>
  <c r="O102" i="18"/>
  <c r="Q102" i="18" s="1"/>
  <c r="R102" i="18" s="1"/>
  <c r="T102" i="18" s="1"/>
  <c r="D113" i="18"/>
  <c r="E113" i="18" s="1"/>
  <c r="F113" i="18" s="1"/>
  <c r="H113" i="18" s="1"/>
  <c r="D114" i="18" s="1"/>
  <c r="P103" i="18" l="1"/>
  <c r="O103" i="18"/>
  <c r="C114" i="18"/>
  <c r="E114" i="18" s="1"/>
  <c r="F114" i="18" s="1"/>
  <c r="H114" i="18" s="1"/>
  <c r="D115" i="18" s="1"/>
  <c r="C115" i="18" l="1"/>
  <c r="E115" i="18" s="1"/>
  <c r="F115" i="18" s="1"/>
  <c r="H115" i="18" s="1"/>
  <c r="Q103" i="18"/>
  <c r="R103" i="18" s="1"/>
  <c r="T103" i="18" s="1"/>
  <c r="D116" i="18" l="1"/>
  <c r="C116" i="18"/>
  <c r="E116" i="18" s="1"/>
  <c r="F116" i="18" s="1"/>
  <c r="H116" i="18" s="1"/>
  <c r="D117" i="18" s="1"/>
  <c r="P104" i="18"/>
  <c r="O104" i="18"/>
  <c r="Q104" i="18" s="1"/>
  <c r="R104" i="18" s="1"/>
  <c r="T104" i="18" s="1"/>
  <c r="C117" i="18" l="1"/>
  <c r="E117" i="18" s="1"/>
  <c r="F117" i="18" s="1"/>
  <c r="H117" i="18" s="1"/>
  <c r="D118" i="18" s="1"/>
  <c r="P105" i="18"/>
  <c r="O105" i="18"/>
  <c r="Q105" i="18" s="1"/>
  <c r="R105" i="18" s="1"/>
  <c r="T105" i="18" s="1"/>
  <c r="C118" i="18" l="1"/>
  <c r="E118" i="18" s="1"/>
  <c r="F118" i="18" s="1"/>
  <c r="H118" i="18" s="1"/>
  <c r="C119" i="18" s="1"/>
  <c r="P106" i="18"/>
  <c r="O106" i="18"/>
  <c r="Q106" i="18" s="1"/>
  <c r="R106" i="18" s="1"/>
  <c r="T106" i="18" s="1"/>
  <c r="D119" i="18" l="1"/>
  <c r="P107" i="18"/>
  <c r="O107" i="18"/>
  <c r="Q107" i="18" s="1"/>
  <c r="R107" i="18" s="1"/>
  <c r="T107" i="18" s="1"/>
  <c r="E119" i="18"/>
  <c r="F119" i="18" s="1"/>
  <c r="H119" i="18" s="1"/>
  <c r="O108" i="18" l="1"/>
  <c r="P108" i="18"/>
  <c r="D120" i="18"/>
  <c r="C120" i="18"/>
  <c r="Q108" i="18" l="1"/>
  <c r="R108" i="18" s="1"/>
  <c r="T108" i="18" s="1"/>
  <c r="E120" i="18"/>
  <c r="F120" i="18" s="1"/>
  <c r="H120" i="18" s="1"/>
  <c r="D121" i="18" s="1"/>
  <c r="C121" i="18" l="1"/>
  <c r="E121" i="18" s="1"/>
  <c r="F121" i="18" s="1"/>
  <c r="H121" i="18" s="1"/>
  <c r="P109" i="18"/>
  <c r="O109" i="18"/>
  <c r="Q109" i="18" l="1"/>
  <c r="R109" i="18" s="1"/>
  <c r="T109" i="18" s="1"/>
  <c r="C122" i="18"/>
  <c r="D122" i="18"/>
  <c r="O110" i="18" l="1"/>
  <c r="Q110" i="18" s="1"/>
  <c r="R110" i="18" s="1"/>
  <c r="T110" i="18" s="1"/>
  <c r="P110" i="18"/>
  <c r="E122" i="18"/>
  <c r="F122" i="18" s="1"/>
  <c r="H122" i="18" s="1"/>
  <c r="O111" i="18" l="1"/>
  <c r="P111" i="18"/>
  <c r="D123" i="18"/>
  <c r="C123" i="18"/>
  <c r="E123" i="18" s="1"/>
  <c r="F123" i="18" s="1"/>
  <c r="H123" i="18" s="1"/>
  <c r="Q111" i="18" l="1"/>
  <c r="R111" i="18" s="1"/>
  <c r="T111" i="18" s="1"/>
  <c r="D124" i="18"/>
  <c r="C124" i="18"/>
  <c r="O112" i="18" l="1"/>
  <c r="Q112" i="18" s="1"/>
  <c r="R112" i="18" s="1"/>
  <c r="T112" i="18" s="1"/>
  <c r="P112" i="18"/>
  <c r="E124" i="18"/>
  <c r="F124" i="18" s="1"/>
  <c r="H124" i="18" s="1"/>
  <c r="O113" i="18" l="1"/>
  <c r="Q113" i="18" s="1"/>
  <c r="R113" i="18" s="1"/>
  <c r="T113" i="18" s="1"/>
  <c r="P113" i="18"/>
  <c r="C125" i="18"/>
  <c r="D125" i="18"/>
  <c r="O114" i="18" l="1"/>
  <c r="Q114" i="18" s="1"/>
  <c r="R114" i="18" s="1"/>
  <c r="T114" i="18" s="1"/>
  <c r="P114" i="18"/>
  <c r="E125" i="18"/>
  <c r="F125" i="18" s="1"/>
  <c r="H125" i="18" s="1"/>
  <c r="P115" i="18" l="1"/>
  <c r="O115" i="18"/>
  <c r="Q115" i="18" s="1"/>
  <c r="R115" i="18" s="1"/>
  <c r="T115" i="18" s="1"/>
  <c r="D126" i="18"/>
  <c r="C126" i="18"/>
  <c r="E126" i="18" s="1"/>
  <c r="F126" i="18" s="1"/>
  <c r="H126" i="18" s="1"/>
  <c r="O116" i="18" l="1"/>
  <c r="Q116" i="18" s="1"/>
  <c r="R116" i="18" s="1"/>
  <c r="T116" i="18" s="1"/>
  <c r="P116" i="18"/>
  <c r="D127" i="18"/>
  <c r="C127" i="18"/>
  <c r="O117" i="18" l="1"/>
  <c r="P117" i="18"/>
  <c r="Q117" i="18" s="1"/>
  <c r="R117" i="18" s="1"/>
  <c r="T117" i="18" s="1"/>
  <c r="E127" i="18"/>
  <c r="F127" i="18" s="1"/>
  <c r="H127" i="18" s="1"/>
  <c r="D128" i="18" s="1"/>
  <c r="O118" i="18" l="1"/>
  <c r="Q118" i="18" s="1"/>
  <c r="R118" i="18" s="1"/>
  <c r="T118" i="18" s="1"/>
  <c r="P118" i="18"/>
  <c r="C128" i="18"/>
  <c r="E128" i="18" s="1"/>
  <c r="F128" i="18" s="1"/>
  <c r="H128" i="18" s="1"/>
  <c r="O119" i="18" l="1"/>
  <c r="Q119" i="18" s="1"/>
  <c r="R119" i="18" s="1"/>
  <c r="T119" i="18" s="1"/>
  <c r="P119" i="18"/>
  <c r="C129" i="18"/>
  <c r="D129" i="18"/>
  <c r="P120" i="18" l="1"/>
  <c r="Q120" i="18" s="1"/>
  <c r="R120" i="18" s="1"/>
  <c r="T120" i="18" s="1"/>
  <c r="O120" i="18"/>
  <c r="E129" i="18"/>
  <c r="F129" i="18" s="1"/>
  <c r="H129" i="18" s="1"/>
  <c r="O121" i="18" l="1"/>
  <c r="P121" i="18"/>
  <c r="C130" i="18"/>
  <c r="D130" i="18"/>
  <c r="Q121" i="18" l="1"/>
  <c r="R121" i="18" s="1"/>
  <c r="T121" i="18" s="1"/>
  <c r="E130" i="18"/>
  <c r="F130" i="18" s="1"/>
  <c r="H130" i="18" s="1"/>
  <c r="P122" i="18" l="1"/>
  <c r="O122" i="18"/>
  <c r="C131" i="18"/>
  <c r="D131" i="18"/>
  <c r="Q122" i="18" l="1"/>
  <c r="R122" i="18" s="1"/>
  <c r="T122" i="18" s="1"/>
  <c r="E131" i="18"/>
  <c r="F131" i="18" s="1"/>
  <c r="H131" i="18" s="1"/>
  <c r="P123" i="18" l="1"/>
  <c r="O123" i="18"/>
  <c r="Q123" i="18" s="1"/>
  <c r="R123" i="18" s="1"/>
  <c r="T123" i="18" s="1"/>
  <c r="D132" i="18"/>
  <c r="C132" i="18"/>
  <c r="E132" i="18" s="1"/>
  <c r="F132" i="18" s="1"/>
  <c r="H132" i="18" s="1"/>
  <c r="P124" i="18" l="1"/>
  <c r="O124" i="18"/>
  <c r="C133" i="18"/>
  <c r="D133" i="18"/>
  <c r="Q124" i="18" l="1"/>
  <c r="R124" i="18" s="1"/>
  <c r="T124" i="18" s="1"/>
  <c r="E133" i="18"/>
  <c r="F133" i="18" s="1"/>
  <c r="H133" i="18" s="1"/>
  <c r="O125" i="18" l="1"/>
  <c r="Q125" i="18" s="1"/>
  <c r="R125" i="18" s="1"/>
  <c r="T125" i="18" s="1"/>
  <c r="P125" i="18"/>
  <c r="D134" i="18"/>
  <c r="C134" i="18"/>
  <c r="E134" i="18" s="1"/>
  <c r="F134" i="18" s="1"/>
  <c r="H134" i="18" s="1"/>
  <c r="P126" i="18" l="1"/>
  <c r="O126" i="18"/>
  <c r="Q126" i="18" s="1"/>
  <c r="R126" i="18" s="1"/>
  <c r="T126" i="18" s="1"/>
  <c r="C135" i="18"/>
  <c r="D135" i="18"/>
  <c r="O127" i="18" l="1"/>
  <c r="Q127" i="18" s="1"/>
  <c r="R127" i="18" s="1"/>
  <c r="T127" i="18" s="1"/>
  <c r="P127" i="18"/>
  <c r="E135" i="18"/>
  <c r="F135" i="18" s="1"/>
  <c r="H135" i="18" s="1"/>
  <c r="O128" i="18" l="1"/>
  <c r="P128" i="18"/>
  <c r="C136" i="18"/>
  <c r="D136" i="18"/>
  <c r="Q128" i="18" l="1"/>
  <c r="R128" i="18" s="1"/>
  <c r="T128" i="18" s="1"/>
  <c r="E136" i="18"/>
  <c r="F136" i="18" s="1"/>
  <c r="H136" i="18" s="1"/>
  <c r="O129" i="18" l="1"/>
  <c r="Q129" i="18" s="1"/>
  <c r="R129" i="18" s="1"/>
  <c r="T129" i="18" s="1"/>
  <c r="P129" i="18"/>
  <c r="C137" i="18"/>
  <c r="D137" i="18"/>
  <c r="P130" i="18" l="1"/>
  <c r="O130" i="18"/>
  <c r="E137" i="18"/>
  <c r="F137" i="18" s="1"/>
  <c r="H137" i="18" s="1"/>
  <c r="Q130" i="18" l="1"/>
  <c r="R130" i="18" s="1"/>
  <c r="T130" i="18" s="1"/>
  <c r="C138" i="18"/>
  <c r="D138" i="18"/>
  <c r="P131" i="18" l="1"/>
  <c r="O131" i="18"/>
  <c r="Q131" i="18" s="1"/>
  <c r="R131" i="18" s="1"/>
  <c r="T131" i="18" s="1"/>
  <c r="E138" i="18"/>
  <c r="F138" i="18" s="1"/>
  <c r="H138" i="18" s="1"/>
  <c r="P132" i="18" l="1"/>
  <c r="O132" i="18"/>
  <c r="C139" i="18"/>
  <c r="D139" i="18"/>
  <c r="Q132" i="18" l="1"/>
  <c r="R132" i="18" s="1"/>
  <c r="T132" i="18" s="1"/>
  <c r="E139" i="18"/>
  <c r="F139" i="18" s="1"/>
  <c r="H139" i="18" s="1"/>
  <c r="O133" i="18" l="1"/>
  <c r="P133" i="18"/>
  <c r="D140" i="18"/>
  <c r="C140" i="18"/>
  <c r="Q133" i="18" l="1"/>
  <c r="R133" i="18" s="1"/>
  <c r="T133" i="18" s="1"/>
  <c r="E140" i="18"/>
  <c r="F140" i="18" s="1"/>
  <c r="H140" i="18" s="1"/>
  <c r="D141" i="18" s="1"/>
  <c r="P134" i="18" l="1"/>
  <c r="O134" i="18"/>
  <c r="C141" i="18"/>
  <c r="E141" i="18" s="1"/>
  <c r="F141" i="18" s="1"/>
  <c r="H141" i="18" s="1"/>
  <c r="Q134" i="18" l="1"/>
  <c r="R134" i="18" s="1"/>
  <c r="T134" i="18" s="1"/>
  <c r="C142" i="18"/>
  <c r="D142" i="18"/>
  <c r="P135" i="18" l="1"/>
  <c r="O135" i="18"/>
  <c r="Q135" i="18" s="1"/>
  <c r="R135" i="18" s="1"/>
  <c r="T135" i="18" s="1"/>
  <c r="E142" i="18"/>
  <c r="F142" i="18" s="1"/>
  <c r="H142" i="18" s="1"/>
  <c r="O136" i="18" l="1"/>
  <c r="Q136" i="18" s="1"/>
  <c r="R136" i="18" s="1"/>
  <c r="T136" i="18" s="1"/>
  <c r="P136" i="18"/>
  <c r="C143" i="18"/>
  <c r="D143" i="18"/>
  <c r="O137" i="18" l="1"/>
  <c r="Q137" i="18" s="1"/>
  <c r="R137" i="18" s="1"/>
  <c r="T137" i="18" s="1"/>
  <c r="P137" i="18"/>
  <c r="E143" i="18"/>
  <c r="F143" i="18" s="1"/>
  <c r="H143" i="18" s="1"/>
  <c r="C144" i="18" s="1"/>
  <c r="O138" i="18" l="1"/>
  <c r="Q138" i="18" s="1"/>
  <c r="R138" i="18" s="1"/>
  <c r="T138" i="18" s="1"/>
  <c r="P138" i="18"/>
  <c r="D144" i="18"/>
  <c r="E144" i="18" s="1"/>
  <c r="F144" i="18" s="1"/>
  <c r="H144" i="18" s="1"/>
  <c r="O139" i="18" l="1"/>
  <c r="Q139" i="18" s="1"/>
  <c r="R139" i="18" s="1"/>
  <c r="T139" i="18" s="1"/>
  <c r="P139" i="18"/>
  <c r="C145" i="18"/>
  <c r="D145" i="18"/>
  <c r="O140" i="18" l="1"/>
  <c r="Q140" i="18" s="1"/>
  <c r="R140" i="18" s="1"/>
  <c r="T140" i="18" s="1"/>
  <c r="P140" i="18"/>
  <c r="E145" i="18"/>
  <c r="F145" i="18" s="1"/>
  <c r="H145" i="18" s="1"/>
  <c r="D146" i="18" s="1"/>
  <c r="C146" i="18" l="1"/>
  <c r="E146" i="18" s="1"/>
  <c r="F146" i="18" s="1"/>
  <c r="H146" i="18" s="1"/>
  <c r="O141" i="18"/>
  <c r="Q141" i="18" s="1"/>
  <c r="R141" i="18" s="1"/>
  <c r="T141" i="18" s="1"/>
  <c r="P141" i="18"/>
  <c r="P142" i="18" l="1"/>
  <c r="O142" i="18"/>
  <c r="Q142" i="18" s="1"/>
  <c r="R142" i="18" s="1"/>
  <c r="T142" i="18" s="1"/>
  <c r="D147" i="18"/>
  <c r="C147" i="18"/>
  <c r="P143" i="18" l="1"/>
  <c r="O143" i="18"/>
  <c r="Q143" i="18" s="1"/>
  <c r="R143" i="18" s="1"/>
  <c r="T143" i="18" s="1"/>
  <c r="E147" i="18"/>
  <c r="F147" i="18" s="1"/>
  <c r="H147" i="18" s="1"/>
  <c r="P144" i="18" l="1"/>
  <c r="O144" i="18"/>
  <c r="Q144" i="18" s="1"/>
  <c r="R144" i="18" s="1"/>
  <c r="T144" i="18" s="1"/>
  <c r="D148" i="18"/>
  <c r="C148" i="18"/>
  <c r="P145" i="18" l="1"/>
  <c r="O145" i="18"/>
  <c r="Q145" i="18" s="1"/>
  <c r="R145" i="18" s="1"/>
  <c r="T145" i="18" s="1"/>
  <c r="E148" i="18"/>
  <c r="F148" i="18" s="1"/>
  <c r="H148" i="18" s="1"/>
  <c r="D149" i="18" s="1"/>
  <c r="P146" i="18" l="1"/>
  <c r="O146" i="18"/>
  <c r="Q146" i="18" s="1"/>
  <c r="R146" i="18" s="1"/>
  <c r="T146" i="18" s="1"/>
  <c r="C149" i="18"/>
  <c r="E149" i="18" s="1"/>
  <c r="F149" i="18" s="1"/>
  <c r="H149" i="18" s="1"/>
  <c r="D150" i="18" s="1"/>
  <c r="P147" i="18" l="1"/>
  <c r="O147" i="18"/>
  <c r="C150" i="18"/>
  <c r="E150" i="18" s="1"/>
  <c r="F150" i="18" s="1"/>
  <c r="H150" i="18" s="1"/>
  <c r="D151" i="18" s="1"/>
  <c r="Q147" i="18" l="1"/>
  <c r="R147" i="18" s="1"/>
  <c r="T147" i="18" s="1"/>
  <c r="C151" i="18"/>
  <c r="E151" i="18" s="1"/>
  <c r="F151" i="18" s="1"/>
  <c r="H151" i="18" s="1"/>
  <c r="D152" i="18" s="1"/>
  <c r="P148" i="18" l="1"/>
  <c r="O148" i="18"/>
  <c r="C152" i="18"/>
  <c r="E152" i="18" s="1"/>
  <c r="F152" i="18" s="1"/>
  <c r="H152" i="18" s="1"/>
  <c r="Q148" i="18" l="1"/>
  <c r="R148" i="18" s="1"/>
  <c r="T148" i="18" s="1"/>
  <c r="C153" i="18"/>
  <c r="D153" i="18"/>
  <c r="O149" i="18" l="1"/>
  <c r="P149" i="18"/>
  <c r="E153" i="18"/>
  <c r="F153" i="18" s="1"/>
  <c r="H153" i="18" s="1"/>
  <c r="D154" i="18" s="1"/>
  <c r="Q149" i="18" l="1"/>
  <c r="R149" i="18" s="1"/>
  <c r="T149" i="18" s="1"/>
  <c r="C154" i="18"/>
  <c r="E154" i="18" s="1"/>
  <c r="F154" i="18" s="1"/>
  <c r="H154" i="18" s="1"/>
  <c r="D155" i="18" s="1"/>
  <c r="O150" i="18" l="1"/>
  <c r="Q150" i="18" s="1"/>
  <c r="R150" i="18" s="1"/>
  <c r="T150" i="18" s="1"/>
  <c r="P150" i="18"/>
  <c r="C155" i="18"/>
  <c r="E155" i="18" s="1"/>
  <c r="F155" i="18" s="1"/>
  <c r="H155" i="18" s="1"/>
  <c r="C156" i="18" s="1"/>
  <c r="P151" i="18" l="1"/>
  <c r="O151" i="18"/>
  <c r="Q151" i="18" s="1"/>
  <c r="R151" i="18" s="1"/>
  <c r="T151" i="18" s="1"/>
  <c r="D156" i="18"/>
  <c r="E156" i="18" s="1"/>
  <c r="F156" i="18" s="1"/>
  <c r="H156" i="18" s="1"/>
  <c r="O152" i="18" l="1"/>
  <c r="Q152" i="18" s="1"/>
  <c r="R152" i="18" s="1"/>
  <c r="T152" i="18" s="1"/>
  <c r="P152" i="18"/>
  <c r="D157" i="18"/>
  <c r="C157" i="18"/>
  <c r="P153" i="18" l="1"/>
  <c r="O153" i="18"/>
  <c r="Q153" i="18" s="1"/>
  <c r="R153" i="18" s="1"/>
  <c r="T153" i="18" s="1"/>
  <c r="E157" i="18"/>
  <c r="F157" i="18" s="1"/>
  <c r="H157" i="18" s="1"/>
  <c r="C158" i="18" s="1"/>
  <c r="D158" i="18" l="1"/>
  <c r="P154" i="18"/>
  <c r="O154" i="18"/>
  <c r="Q154" i="18" s="1"/>
  <c r="R154" i="18" s="1"/>
  <c r="T154" i="18" s="1"/>
  <c r="E158" i="18"/>
  <c r="F158" i="18" s="1"/>
  <c r="H158" i="18" s="1"/>
  <c r="O155" i="18" l="1"/>
  <c r="Q155" i="18" s="1"/>
  <c r="R155" i="18" s="1"/>
  <c r="T155" i="18" s="1"/>
  <c r="P155" i="18"/>
  <c r="C159" i="18"/>
  <c r="D159" i="18"/>
  <c r="P156" i="18" l="1"/>
  <c r="O156" i="18"/>
  <c r="Q156" i="18" s="1"/>
  <c r="R156" i="18" s="1"/>
  <c r="T156" i="18" s="1"/>
  <c r="E159" i="18"/>
  <c r="F159" i="18" s="1"/>
  <c r="H159" i="18" s="1"/>
  <c r="O157" i="18" l="1"/>
  <c r="P157" i="18"/>
  <c r="C160" i="18"/>
  <c r="D160" i="18"/>
  <c r="Q157" i="18" l="1"/>
  <c r="R157" i="18" s="1"/>
  <c r="T157" i="18" s="1"/>
  <c r="E160" i="18"/>
  <c r="F160" i="18" s="1"/>
  <c r="H160" i="18" s="1"/>
  <c r="C161" i="18" s="1"/>
  <c r="P158" i="18" l="1"/>
  <c r="O158" i="18"/>
  <c r="D161" i="18"/>
  <c r="E161" i="18" s="1"/>
  <c r="F161" i="18" s="1"/>
  <c r="H161" i="18" s="1"/>
  <c r="Q158" i="18" l="1"/>
  <c r="R158" i="18" s="1"/>
  <c r="T158" i="18" s="1"/>
  <c r="D162" i="18"/>
  <c r="C162" i="18"/>
  <c r="O159" i="18" l="1"/>
  <c r="P159" i="18"/>
  <c r="E162" i="18"/>
  <c r="F162" i="18" s="1"/>
  <c r="H162" i="18" s="1"/>
  <c r="D163" i="18" s="1"/>
  <c r="C163" i="18" l="1"/>
  <c r="E163" i="18" s="1"/>
  <c r="F163" i="18" s="1"/>
  <c r="H163" i="18" s="1"/>
  <c r="D164" i="18" s="1"/>
  <c r="Q159" i="18"/>
  <c r="R159" i="18" s="1"/>
  <c r="T159" i="18" s="1"/>
  <c r="O160" i="18" l="1"/>
  <c r="P160" i="18"/>
  <c r="C164" i="18"/>
  <c r="E164" i="18" s="1"/>
  <c r="F164" i="18" s="1"/>
  <c r="H164" i="18" s="1"/>
  <c r="D165" i="18" s="1"/>
  <c r="Q160" i="18" l="1"/>
  <c r="R160" i="18" s="1"/>
  <c r="T160" i="18" s="1"/>
  <c r="C165" i="18"/>
  <c r="E165" i="18" s="1"/>
  <c r="F165" i="18" s="1"/>
  <c r="H165" i="18" s="1"/>
  <c r="P161" i="18" l="1"/>
  <c r="O161" i="18"/>
  <c r="Q161" i="18" s="1"/>
  <c r="R161" i="18" s="1"/>
  <c r="T161" i="18" s="1"/>
  <c r="D166" i="18"/>
  <c r="C166" i="18"/>
  <c r="O162" i="18" l="1"/>
  <c r="P162" i="18"/>
  <c r="E166" i="18"/>
  <c r="F166" i="18" s="1"/>
  <c r="H166" i="18" s="1"/>
  <c r="C167" i="18" s="1"/>
  <c r="Q162" i="18" l="1"/>
  <c r="R162" i="18" s="1"/>
  <c r="T162" i="18" s="1"/>
  <c r="D167" i="18"/>
  <c r="E167" i="18" s="1"/>
  <c r="F167" i="18" s="1"/>
  <c r="H167" i="18" s="1"/>
  <c r="C168" i="18" s="1"/>
  <c r="P163" i="18" l="1"/>
  <c r="O163" i="18"/>
  <c r="Q163" i="18" s="1"/>
  <c r="R163" i="18" s="1"/>
  <c r="T163" i="18" s="1"/>
  <c r="D168" i="18"/>
  <c r="E168" i="18" s="1"/>
  <c r="F168" i="18" s="1"/>
  <c r="H168" i="18" s="1"/>
  <c r="O164" i="18" l="1"/>
  <c r="Q164" i="18" s="1"/>
  <c r="R164" i="18" s="1"/>
  <c r="T164" i="18" s="1"/>
  <c r="P164" i="18"/>
  <c r="C169" i="18"/>
  <c r="D169" i="18"/>
  <c r="O165" i="18" l="1"/>
  <c r="P165" i="18"/>
  <c r="E169" i="18"/>
  <c r="F169" i="18" s="1"/>
  <c r="H169" i="18" s="1"/>
  <c r="C170" i="18" s="1"/>
  <c r="Q165" i="18" l="1"/>
  <c r="R165" i="18" s="1"/>
  <c r="T165" i="18" s="1"/>
  <c r="D170" i="18"/>
  <c r="E170" i="18" s="1"/>
  <c r="F170" i="18" s="1"/>
  <c r="H170" i="18" s="1"/>
  <c r="D171" i="18" s="1"/>
  <c r="O166" i="18" l="1"/>
  <c r="Q166" i="18" s="1"/>
  <c r="R166" i="18" s="1"/>
  <c r="T166" i="18" s="1"/>
  <c r="P166" i="18"/>
  <c r="C171" i="18"/>
  <c r="E171" i="18" s="1"/>
  <c r="F171" i="18" s="1"/>
  <c r="H171" i="18" s="1"/>
  <c r="P167" i="18" l="1"/>
  <c r="O167" i="18"/>
  <c r="D172" i="18"/>
  <c r="C172" i="18"/>
  <c r="Q167" i="18" l="1"/>
  <c r="R167" i="18" s="1"/>
  <c r="T167" i="18" s="1"/>
  <c r="E172" i="18"/>
  <c r="F172" i="18" s="1"/>
  <c r="H172" i="18" s="1"/>
  <c r="C173" i="18" s="1"/>
  <c r="P168" i="18" l="1"/>
  <c r="O168" i="18"/>
  <c r="Q168" i="18" s="1"/>
  <c r="R168" i="18" s="1"/>
  <c r="T168" i="18" s="1"/>
  <c r="D173" i="18"/>
  <c r="E173" i="18" s="1"/>
  <c r="F173" i="18" s="1"/>
  <c r="H173" i="18" s="1"/>
  <c r="P169" i="18" l="1"/>
  <c r="O169" i="18"/>
  <c r="Q169" i="18" s="1"/>
  <c r="R169" i="18" s="1"/>
  <c r="T169" i="18" s="1"/>
  <c r="C174" i="18"/>
  <c r="D174" i="18"/>
  <c r="O170" i="18" l="1"/>
  <c r="Q170" i="18" s="1"/>
  <c r="R170" i="18" s="1"/>
  <c r="T170" i="18" s="1"/>
  <c r="P170" i="18"/>
  <c r="E174" i="18"/>
  <c r="F174" i="18" s="1"/>
  <c r="H174" i="18" s="1"/>
  <c r="P171" i="18" l="1"/>
  <c r="O171" i="18"/>
  <c r="D175" i="18"/>
  <c r="C175" i="18"/>
  <c r="Q171" i="18" l="1"/>
  <c r="R171" i="18" s="1"/>
  <c r="T171" i="18" s="1"/>
  <c r="E175" i="18"/>
  <c r="F175" i="18" s="1"/>
  <c r="H175" i="18" s="1"/>
  <c r="P172" i="18" l="1"/>
  <c r="O172" i="18"/>
  <c r="Q172" i="18" s="1"/>
  <c r="R172" i="18" s="1"/>
  <c r="T172" i="18" s="1"/>
  <c r="C176" i="18"/>
  <c r="D176" i="18"/>
  <c r="P173" i="18" l="1"/>
  <c r="O173" i="18"/>
  <c r="Q173" i="18" s="1"/>
  <c r="R173" i="18" s="1"/>
  <c r="T173" i="18" s="1"/>
  <c r="E176" i="18"/>
  <c r="F176" i="18" s="1"/>
  <c r="H176" i="18" s="1"/>
  <c r="P174" i="18" l="1"/>
  <c r="O174" i="18"/>
  <c r="Q174" i="18" s="1"/>
  <c r="R174" i="18" s="1"/>
  <c r="T174" i="18" s="1"/>
  <c r="D177" i="18"/>
  <c r="C177" i="18"/>
  <c r="P175" i="18" l="1"/>
  <c r="O175" i="18"/>
  <c r="Q175" i="18" s="1"/>
  <c r="R175" i="18" s="1"/>
  <c r="T175" i="18" s="1"/>
  <c r="E177" i="18"/>
  <c r="F177" i="18" s="1"/>
  <c r="H177" i="18" s="1"/>
  <c r="C178" i="18" s="1"/>
  <c r="P176" i="18" l="1"/>
  <c r="O176" i="18"/>
  <c r="Q176" i="18" s="1"/>
  <c r="R176" i="18" s="1"/>
  <c r="T176" i="18" s="1"/>
  <c r="D178" i="18"/>
  <c r="E178" i="18" s="1"/>
  <c r="F178" i="18" s="1"/>
  <c r="H178" i="18" s="1"/>
  <c r="P177" i="18" l="1"/>
  <c r="O177" i="18"/>
  <c r="Q177" i="18" s="1"/>
  <c r="R177" i="18" s="1"/>
  <c r="T177" i="18" s="1"/>
  <c r="D179" i="18"/>
  <c r="C179" i="18"/>
  <c r="P178" i="18" l="1"/>
  <c r="O178" i="18"/>
  <c r="Q178" i="18" s="1"/>
  <c r="R178" i="18" s="1"/>
  <c r="T178" i="18" s="1"/>
  <c r="E179" i="18"/>
  <c r="F179" i="18" s="1"/>
  <c r="H179" i="18" s="1"/>
  <c r="D180" i="18" s="1"/>
  <c r="P179" i="18" l="1"/>
  <c r="O179" i="18"/>
  <c r="Q179" i="18" s="1"/>
  <c r="R179" i="18" s="1"/>
  <c r="T179" i="18" s="1"/>
  <c r="C180" i="18"/>
  <c r="E180" i="18" s="1"/>
  <c r="F180" i="18" s="1"/>
  <c r="H180" i="18" s="1"/>
  <c r="D181" i="18" s="1"/>
  <c r="P180" i="18" l="1"/>
  <c r="O180" i="18"/>
  <c r="Q180" i="18" s="1"/>
  <c r="R180" i="18" s="1"/>
  <c r="T180" i="18" s="1"/>
  <c r="C181" i="18"/>
  <c r="E181" i="18" s="1"/>
  <c r="F181" i="18" s="1"/>
  <c r="H181" i="18" s="1"/>
  <c r="C182" i="18" s="1"/>
  <c r="O181" i="18" l="1"/>
  <c r="Q181" i="18" s="1"/>
  <c r="R181" i="18" s="1"/>
  <c r="T181" i="18" s="1"/>
  <c r="P181" i="18"/>
  <c r="D182" i="18"/>
  <c r="E182" i="18" s="1"/>
  <c r="F182" i="18" s="1"/>
  <c r="H182" i="18" s="1"/>
  <c r="O182" i="18" l="1"/>
  <c r="Q182" i="18" s="1"/>
  <c r="R182" i="18" s="1"/>
  <c r="T182" i="18" s="1"/>
  <c r="O183" i="18" s="1"/>
  <c r="P182" i="18"/>
  <c r="D183" i="18"/>
  <c r="C183" i="18"/>
  <c r="P183" i="18" l="1"/>
  <c r="Q183" i="18" s="1"/>
  <c r="R183" i="18" s="1"/>
  <c r="T183" i="18" s="1"/>
  <c r="E183" i="18"/>
  <c r="F183" i="18" s="1"/>
  <c r="H183" i="18" s="1"/>
  <c r="D184" i="18" s="1"/>
  <c r="O184" i="18" l="1"/>
  <c r="Q184" i="18" s="1"/>
  <c r="R184" i="18" s="1"/>
  <c r="T184" i="18" s="1"/>
  <c r="O185" i="18" s="1"/>
  <c r="P184" i="18"/>
  <c r="C184" i="18"/>
  <c r="E184" i="18" s="1"/>
  <c r="F184" i="18" s="1"/>
  <c r="H184" i="18" s="1"/>
  <c r="D185" i="18" s="1"/>
  <c r="C185" i="18" l="1"/>
  <c r="E185" i="18" s="1"/>
  <c r="F185" i="18" s="1"/>
  <c r="H185" i="18" s="1"/>
  <c r="D186" i="18" s="1"/>
  <c r="P185" i="18"/>
  <c r="Q185" i="18" s="1"/>
  <c r="R185" i="18" s="1"/>
  <c r="T185" i="18" s="1"/>
  <c r="C186" i="18" l="1"/>
  <c r="E186" i="18" s="1"/>
  <c r="F186" i="18" s="1"/>
  <c r="H186" i="18" s="1"/>
  <c r="D187" i="18" s="1"/>
  <c r="O186" i="18"/>
  <c r="P186" i="18"/>
  <c r="C187" i="18" l="1"/>
  <c r="E187" i="18" s="1"/>
  <c r="F187" i="18" s="1"/>
  <c r="H187" i="18" s="1"/>
  <c r="D188" i="18" s="1"/>
  <c r="Q186" i="18"/>
  <c r="R186" i="18" s="1"/>
  <c r="T186" i="18" s="1"/>
  <c r="C188" i="18" l="1"/>
  <c r="E188" i="18" s="1"/>
  <c r="F188" i="18" s="1"/>
  <c r="H188" i="18" s="1"/>
  <c r="P187" i="18"/>
  <c r="O187" i="18"/>
  <c r="Q187" i="18" l="1"/>
  <c r="R187" i="18" s="1"/>
  <c r="T187" i="18" s="1"/>
  <c r="P188" i="18" s="1"/>
  <c r="C189" i="18"/>
  <c r="D189" i="18"/>
  <c r="O188" i="18" l="1"/>
  <c r="Q188" i="18" s="1"/>
  <c r="R188" i="18" s="1"/>
  <c r="T188" i="18" s="1"/>
  <c r="O189" i="18" s="1"/>
  <c r="E189" i="18"/>
  <c r="F189" i="18" s="1"/>
  <c r="H189" i="18" s="1"/>
  <c r="C190" i="18" s="1"/>
  <c r="D190" i="18" l="1"/>
  <c r="E190" i="18" s="1"/>
  <c r="F190" i="18" s="1"/>
  <c r="H190" i="18" s="1"/>
  <c r="C191" i="18" s="1"/>
  <c r="P189" i="18"/>
  <c r="Q189" i="18" s="1"/>
  <c r="R189" i="18" s="1"/>
  <c r="T189" i="18" s="1"/>
  <c r="D191" i="18" l="1"/>
  <c r="E191" i="18" s="1"/>
  <c r="F191" i="18" s="1"/>
  <c r="H191" i="18" s="1"/>
  <c r="O190" i="18"/>
  <c r="P190" i="18"/>
  <c r="D192" i="18" l="1"/>
  <c r="C192" i="18"/>
  <c r="Q190" i="18"/>
  <c r="R190" i="18" s="1"/>
  <c r="T190" i="18" s="1"/>
  <c r="E192" i="18" l="1"/>
  <c r="F192" i="18" s="1"/>
  <c r="H192" i="18" s="1"/>
  <c r="C193" i="18" s="1"/>
  <c r="P191" i="18"/>
  <c r="O191" i="18"/>
  <c r="Q191" i="18" s="1"/>
  <c r="R191" i="18" s="1"/>
  <c r="T191" i="18" s="1"/>
  <c r="D193" i="18" l="1"/>
  <c r="E193" i="18" s="1"/>
  <c r="F193" i="18" s="1"/>
  <c r="H193" i="18" s="1"/>
  <c r="C194" i="18" s="1"/>
  <c r="O192" i="18"/>
  <c r="P192" i="18"/>
  <c r="Q192" i="18" l="1"/>
  <c r="R192" i="18" s="1"/>
  <c r="T192" i="18" s="1"/>
  <c r="O193" i="18" s="1"/>
  <c r="D194" i="18"/>
  <c r="E194" i="18" s="1"/>
  <c r="F194" i="18" s="1"/>
  <c r="H194" i="18" s="1"/>
  <c r="P193" i="18" l="1"/>
  <c r="Q193" i="18" s="1"/>
  <c r="R193" i="18" s="1"/>
  <c r="T193" i="18" s="1"/>
  <c r="C195" i="18"/>
  <c r="D195" i="18"/>
  <c r="O194" i="18" l="1"/>
  <c r="P194" i="18"/>
  <c r="E195" i="18"/>
  <c r="F195" i="18" s="1"/>
  <c r="H195" i="18" s="1"/>
  <c r="D196" i="18" l="1"/>
  <c r="C196" i="18"/>
  <c r="Q194" i="18"/>
  <c r="R194" i="18" s="1"/>
  <c r="T194" i="18" s="1"/>
  <c r="E196" i="18" l="1"/>
  <c r="F196" i="18" s="1"/>
  <c r="H196" i="18" s="1"/>
  <c r="D197" i="18" s="1"/>
  <c r="P195" i="18"/>
  <c r="O195" i="18"/>
  <c r="Q195" i="18" s="1"/>
  <c r="R195" i="18" s="1"/>
  <c r="T195" i="18" s="1"/>
  <c r="C197" i="18" l="1"/>
  <c r="E197" i="18" s="1"/>
  <c r="F197" i="18" s="1"/>
  <c r="H197" i="18" s="1"/>
  <c r="D198" i="18" s="1"/>
  <c r="P196" i="18"/>
  <c r="O196" i="18"/>
  <c r="C198" i="18" l="1"/>
  <c r="E198" i="18" s="1"/>
  <c r="F198" i="18" s="1"/>
  <c r="H198" i="18" s="1"/>
  <c r="D199" i="18" s="1"/>
  <c r="Q196" i="18"/>
  <c r="R196" i="18" s="1"/>
  <c r="T196" i="18" s="1"/>
  <c r="C199" i="18" l="1"/>
  <c r="E199" i="18" s="1"/>
  <c r="F199" i="18" s="1"/>
  <c r="H199" i="18" s="1"/>
  <c r="D200" i="18" s="1"/>
  <c r="P197" i="18"/>
  <c r="O197" i="18"/>
  <c r="Q197" i="18" l="1"/>
  <c r="R197" i="18" s="1"/>
  <c r="T197" i="18" s="1"/>
  <c r="P198" i="18" s="1"/>
  <c r="C200" i="18"/>
  <c r="E200" i="18" s="1"/>
  <c r="F200" i="18" s="1"/>
  <c r="H200" i="18" s="1"/>
  <c r="D201" i="18" s="1"/>
  <c r="O198" i="18" l="1"/>
  <c r="Q198" i="18" s="1"/>
  <c r="R198" i="18" s="1"/>
  <c r="T198" i="18" s="1"/>
  <c r="P199" i="18" s="1"/>
  <c r="C201" i="18"/>
  <c r="E201" i="18" s="1"/>
  <c r="F201" i="18" s="1"/>
  <c r="H201" i="18" s="1"/>
  <c r="D202" i="18" s="1"/>
  <c r="O199" i="18" l="1"/>
  <c r="Q199" i="18" s="1"/>
  <c r="R199" i="18" s="1"/>
  <c r="T199" i="18" s="1"/>
  <c r="O200" i="18" s="1"/>
  <c r="C202" i="18"/>
  <c r="E202" i="18" s="1"/>
  <c r="F202" i="18" s="1"/>
  <c r="H202" i="18" s="1"/>
  <c r="D203" i="18" s="1"/>
  <c r="P200" i="18" l="1"/>
  <c r="Q200" i="18" s="1"/>
  <c r="R200" i="18" s="1"/>
  <c r="T200" i="18" s="1"/>
  <c r="C203" i="18"/>
  <c r="E203" i="18" s="1"/>
  <c r="F203" i="18" s="1"/>
  <c r="H203" i="18" s="1"/>
  <c r="C204" i="18" s="1"/>
  <c r="P201" i="18" l="1"/>
  <c r="O201" i="18"/>
  <c r="D204" i="18"/>
  <c r="E204" i="18" s="1"/>
  <c r="F204" i="18" s="1"/>
  <c r="H204" i="18" s="1"/>
  <c r="D205" i="18" s="1"/>
  <c r="Q201" i="18" l="1"/>
  <c r="R201" i="18" s="1"/>
  <c r="T201" i="18" s="1"/>
  <c r="C205" i="18"/>
  <c r="E205" i="18" s="1"/>
  <c r="F205" i="18" s="1"/>
  <c r="H205" i="18" s="1"/>
  <c r="C206" i="18" s="1"/>
  <c r="P202" i="18" l="1"/>
  <c r="O202" i="18"/>
  <c r="D206" i="18"/>
  <c r="E206" i="18" s="1"/>
  <c r="F206" i="18" s="1"/>
  <c r="H206" i="18" s="1"/>
  <c r="C207" i="18" s="1"/>
  <c r="Q202" i="18" l="1"/>
  <c r="R202" i="18" s="1"/>
  <c r="T202" i="18" s="1"/>
  <c r="D207" i="18"/>
  <c r="E207" i="18" s="1"/>
  <c r="F207" i="18" s="1"/>
  <c r="H207" i="18" s="1"/>
  <c r="O203" i="18" l="1"/>
  <c r="P203" i="18"/>
  <c r="C208" i="18"/>
  <c r="D208" i="18"/>
  <c r="Q203" i="18" l="1"/>
  <c r="R203" i="18" s="1"/>
  <c r="T203" i="18" s="1"/>
  <c r="E208" i="18"/>
  <c r="F208" i="18" s="1"/>
  <c r="H208" i="18" s="1"/>
  <c r="O204" i="18" l="1"/>
  <c r="Q204" i="18" s="1"/>
  <c r="R204" i="18" s="1"/>
  <c r="T204" i="18" s="1"/>
  <c r="P204" i="18"/>
  <c r="C209" i="18"/>
  <c r="D209" i="18"/>
  <c r="O205" i="18" l="1"/>
  <c r="Q205" i="18" s="1"/>
  <c r="R205" i="18" s="1"/>
  <c r="T205" i="18" s="1"/>
  <c r="O206" i="18" s="1"/>
  <c r="P205" i="18"/>
  <c r="E209" i="18"/>
  <c r="F209" i="18" s="1"/>
  <c r="H209" i="18" s="1"/>
  <c r="P206" i="18" l="1"/>
  <c r="Q206" i="18" s="1"/>
  <c r="R206" i="18" s="1"/>
  <c r="T206" i="18" s="1"/>
  <c r="C210" i="18"/>
  <c r="D210" i="18"/>
  <c r="P207" i="18" l="1"/>
  <c r="O207" i="18"/>
  <c r="E210" i="18"/>
  <c r="F210" i="18" s="1"/>
  <c r="H210" i="18" s="1"/>
  <c r="Q207" i="18" l="1"/>
  <c r="R207" i="18" s="1"/>
  <c r="T207" i="18" s="1"/>
  <c r="P208" i="18" s="1"/>
  <c r="D211" i="18"/>
  <c r="C211" i="18"/>
  <c r="E211" i="18" s="1"/>
  <c r="F211" i="18" s="1"/>
  <c r="H211" i="18" s="1"/>
  <c r="O208" i="18" l="1"/>
  <c r="Q208" i="18" s="1"/>
  <c r="R208" i="18" s="1"/>
  <c r="T208" i="18" s="1"/>
  <c r="O209" i="18" s="1"/>
  <c r="D212" i="18"/>
  <c r="C212" i="18"/>
  <c r="E212" i="18" s="1"/>
  <c r="F212" i="18" s="1"/>
  <c r="H212" i="18" s="1"/>
  <c r="P209" i="18" l="1"/>
  <c r="Q209" i="18" s="1"/>
  <c r="R209" i="18" s="1"/>
  <c r="T209" i="18" s="1"/>
  <c r="C213" i="18"/>
  <c r="D213" i="18"/>
  <c r="O210" i="18" l="1"/>
  <c r="P210" i="18"/>
  <c r="E213" i="18"/>
  <c r="F213" i="18" s="1"/>
  <c r="H213" i="18" s="1"/>
  <c r="D214" i="18" l="1"/>
  <c r="C214" i="18"/>
  <c r="Q210" i="18"/>
  <c r="R210" i="18" s="1"/>
  <c r="T210" i="18" s="1"/>
  <c r="E214" i="18" l="1"/>
  <c r="F214" i="18" s="1"/>
  <c r="H214" i="18" s="1"/>
  <c r="D215" i="18" s="1"/>
  <c r="P211" i="18"/>
  <c r="O211" i="18"/>
  <c r="Q211" i="18" s="1"/>
  <c r="R211" i="18" s="1"/>
  <c r="T211" i="18" s="1"/>
  <c r="C215" i="18" l="1"/>
  <c r="E215" i="18" s="1"/>
  <c r="F215" i="18" s="1"/>
  <c r="H215" i="18" s="1"/>
  <c r="P212" i="18"/>
  <c r="O212" i="18"/>
  <c r="C216" i="18" l="1"/>
  <c r="D216" i="18"/>
  <c r="Q212" i="18"/>
  <c r="R212" i="18" s="1"/>
  <c r="T212" i="18" s="1"/>
  <c r="O213" i="18" s="1"/>
  <c r="P213" i="18" l="1"/>
  <c r="Q213" i="18" s="1"/>
  <c r="R213" i="18" s="1"/>
  <c r="T213" i="18" s="1"/>
  <c r="O214" i="18" s="1"/>
  <c r="E216" i="18"/>
  <c r="F216" i="18" s="1"/>
  <c r="H216" i="18" s="1"/>
  <c r="C217" i="18" s="1"/>
  <c r="P214" i="18" l="1"/>
  <c r="Q214" i="18" s="1"/>
  <c r="R214" i="18" s="1"/>
  <c r="T214" i="18" s="1"/>
  <c r="P215" i="18" s="1"/>
  <c r="D217" i="18"/>
  <c r="E217" i="18" s="1"/>
  <c r="F217" i="18" s="1"/>
  <c r="H217" i="18" s="1"/>
  <c r="O215" i="18" l="1"/>
  <c r="Q215" i="18" s="1"/>
  <c r="R215" i="18" s="1"/>
  <c r="T215" i="18" s="1"/>
  <c r="O216" i="18" s="1"/>
  <c r="C218" i="18"/>
  <c r="D218" i="18"/>
  <c r="P216" i="18" l="1"/>
  <c r="Q216" i="18" s="1"/>
  <c r="R216" i="18" s="1"/>
  <c r="T216" i="18" s="1"/>
  <c r="O217" i="18" s="1"/>
  <c r="E218" i="18"/>
  <c r="F218" i="18" s="1"/>
  <c r="H218" i="18" s="1"/>
  <c r="P217" i="18" l="1"/>
  <c r="Q217" i="18" s="1"/>
  <c r="R217" i="18" s="1"/>
  <c r="T217" i="18" s="1"/>
  <c r="D219" i="18"/>
  <c r="C219" i="18"/>
  <c r="E219" i="18" s="1"/>
  <c r="F219" i="18" s="1"/>
  <c r="H219" i="18" s="1"/>
  <c r="O218" i="18" l="1"/>
  <c r="P218" i="18"/>
  <c r="D220" i="18"/>
  <c r="C220" i="18"/>
  <c r="E220" i="18" s="1"/>
  <c r="F220" i="18" s="1"/>
  <c r="H220" i="18" s="1"/>
  <c r="C221" i="18" l="1"/>
  <c r="D221" i="18"/>
  <c r="Q218" i="18"/>
  <c r="R218" i="18" s="1"/>
  <c r="T218" i="18" s="1"/>
  <c r="P219" i="18" l="1"/>
  <c r="O219" i="18"/>
  <c r="E221" i="18"/>
  <c r="F221" i="18" s="1"/>
  <c r="H221" i="18" s="1"/>
  <c r="Q219" i="18" l="1"/>
  <c r="R219" i="18" s="1"/>
  <c r="T219" i="18" s="1"/>
  <c r="O220" i="18" s="1"/>
  <c r="C222" i="18"/>
  <c r="D222" i="18"/>
  <c r="P220" i="18" l="1"/>
  <c r="Q220" i="18" s="1"/>
  <c r="R220" i="18" s="1"/>
  <c r="T220" i="18" s="1"/>
  <c r="O221" i="18" s="1"/>
  <c r="E222" i="18"/>
  <c r="F222" i="18" s="1"/>
  <c r="H222" i="18" s="1"/>
  <c r="P221" i="18" l="1"/>
  <c r="Q221" i="18" s="1"/>
  <c r="R221" i="18" s="1"/>
  <c r="T221" i="18" s="1"/>
  <c r="D223" i="18"/>
  <c r="C223" i="18"/>
  <c r="E223" i="18" l="1"/>
  <c r="F223" i="18" s="1"/>
  <c r="H223" i="18" s="1"/>
  <c r="D224" i="18" s="1"/>
  <c r="P222" i="18"/>
  <c r="O222" i="18"/>
  <c r="Q222" i="18" s="1"/>
  <c r="R222" i="18" s="1"/>
  <c r="T222" i="18" s="1"/>
  <c r="C224" i="18" l="1"/>
  <c r="E224" i="18" s="1"/>
  <c r="F224" i="18" s="1"/>
  <c r="H224" i="18" s="1"/>
  <c r="D225" i="18" s="1"/>
  <c r="P223" i="18"/>
  <c r="O223" i="18"/>
  <c r="C225" i="18" l="1"/>
  <c r="E225" i="18" s="1"/>
  <c r="F225" i="18" s="1"/>
  <c r="H225" i="18" s="1"/>
  <c r="C226" i="18" s="1"/>
  <c r="Q223" i="18"/>
  <c r="R223" i="18" s="1"/>
  <c r="T223" i="18" s="1"/>
  <c r="O224" i="18" s="1"/>
  <c r="P224" i="18"/>
  <c r="D226" i="18" l="1"/>
  <c r="E226" i="18" s="1"/>
  <c r="F226" i="18" s="1"/>
  <c r="H226" i="18" s="1"/>
  <c r="D227" i="18" s="1"/>
  <c r="Q224" i="18"/>
  <c r="R224" i="18" s="1"/>
  <c r="T224" i="18" s="1"/>
  <c r="C227" i="18" l="1"/>
  <c r="E227" i="18" s="1"/>
  <c r="F227" i="18" s="1"/>
  <c r="H227" i="18" s="1"/>
  <c r="C228" i="18" s="1"/>
  <c r="O225" i="18"/>
  <c r="P225" i="18"/>
  <c r="D228" i="18" l="1"/>
  <c r="E228" i="18" s="1"/>
  <c r="F228" i="18" s="1"/>
  <c r="H228" i="18" s="1"/>
  <c r="D229" i="18" s="1"/>
  <c r="Q225" i="18"/>
  <c r="R225" i="18" s="1"/>
  <c r="T225" i="18" s="1"/>
  <c r="C229" i="18" l="1"/>
  <c r="E229" i="18" s="1"/>
  <c r="F229" i="18" s="1"/>
  <c r="H229" i="18" s="1"/>
  <c r="D230" i="18" s="1"/>
  <c r="O226" i="18"/>
  <c r="P226" i="18"/>
  <c r="C230" i="18" l="1"/>
  <c r="E230" i="18"/>
  <c r="F230" i="18" s="1"/>
  <c r="H230" i="18" s="1"/>
  <c r="C231" i="18" s="1"/>
  <c r="Q226" i="18"/>
  <c r="R226" i="18" s="1"/>
  <c r="T226" i="18" s="1"/>
  <c r="D231" i="18" l="1"/>
  <c r="E231" i="18" s="1"/>
  <c r="F231" i="18" s="1"/>
  <c r="H231" i="18" s="1"/>
  <c r="P227" i="18"/>
  <c r="O227" i="18"/>
  <c r="Q227" i="18" l="1"/>
  <c r="R227" i="18" s="1"/>
  <c r="T227" i="18" s="1"/>
  <c r="O228" i="18" s="1"/>
  <c r="C232" i="18"/>
  <c r="D232" i="18"/>
  <c r="P228" i="18" l="1"/>
  <c r="Q228" i="18" s="1"/>
  <c r="R228" i="18" s="1"/>
  <c r="T228" i="18" s="1"/>
  <c r="E232" i="18"/>
  <c r="F232" i="18" s="1"/>
  <c r="H232" i="18" s="1"/>
  <c r="O229" i="18" l="1"/>
  <c r="P229" i="18"/>
  <c r="C233" i="18"/>
  <c r="D233" i="18"/>
  <c r="Q229" i="18" l="1"/>
  <c r="R229" i="18" s="1"/>
  <c r="T229" i="18" s="1"/>
  <c r="P230" i="18" s="1"/>
  <c r="E233" i="18"/>
  <c r="F233" i="18" s="1"/>
  <c r="H233" i="18" s="1"/>
  <c r="O230" i="18" l="1"/>
  <c r="Q230" i="18" s="1"/>
  <c r="R230" i="18" s="1"/>
  <c r="T230" i="18" s="1"/>
  <c r="P231" i="18" s="1"/>
  <c r="C234" i="18"/>
  <c r="D234" i="18"/>
  <c r="O231" i="18" l="1"/>
  <c r="Q231" i="18" s="1"/>
  <c r="R231" i="18" s="1"/>
  <c r="T231" i="18" s="1"/>
  <c r="O232" i="18" s="1"/>
  <c r="E234" i="18"/>
  <c r="F234" i="18" s="1"/>
  <c r="H234" i="18" s="1"/>
  <c r="P232" i="18" l="1"/>
  <c r="Q232" i="18" s="1"/>
  <c r="R232" i="18" s="1"/>
  <c r="T232" i="18" s="1"/>
  <c r="C235" i="18"/>
  <c r="D235" i="18"/>
  <c r="O233" i="18" l="1"/>
  <c r="P233" i="18"/>
  <c r="E235" i="18"/>
  <c r="F235" i="18" s="1"/>
  <c r="H235" i="18" s="1"/>
  <c r="D236" i="18" l="1"/>
  <c r="C236" i="18"/>
  <c r="Q233" i="18"/>
  <c r="R233" i="18" s="1"/>
  <c r="T233" i="18" s="1"/>
  <c r="E236" i="18" l="1"/>
  <c r="F236" i="18" s="1"/>
  <c r="H236" i="18" s="1"/>
  <c r="C237" i="18" s="1"/>
  <c r="O234" i="18"/>
  <c r="P234" i="18"/>
  <c r="D237" i="18" l="1"/>
  <c r="E237" i="18" s="1"/>
  <c r="F237" i="18" s="1"/>
  <c r="H237" i="18" s="1"/>
  <c r="C238" i="18" s="1"/>
  <c r="Q234" i="18"/>
  <c r="R234" i="18" s="1"/>
  <c r="T234" i="18" s="1"/>
  <c r="D238" i="18" l="1"/>
  <c r="E238" i="18" s="1"/>
  <c r="F238" i="18" s="1"/>
  <c r="H238" i="18" s="1"/>
  <c r="P235" i="18"/>
  <c r="O235" i="18"/>
  <c r="Q235" i="18" l="1"/>
  <c r="R235" i="18" s="1"/>
  <c r="T235" i="18" s="1"/>
  <c r="P236" i="18" s="1"/>
  <c r="C239" i="18"/>
  <c r="D239" i="18"/>
  <c r="O236" i="18" l="1"/>
  <c r="Q236" i="18" s="1"/>
  <c r="R236" i="18" s="1"/>
  <c r="T236" i="18" s="1"/>
  <c r="O237" i="18" s="1"/>
  <c r="E239" i="18"/>
  <c r="F239" i="18" s="1"/>
  <c r="H239" i="18" s="1"/>
  <c r="P237" i="18" l="1"/>
  <c r="Q237" i="18" s="1"/>
  <c r="R237" i="18" s="1"/>
  <c r="T237" i="18" s="1"/>
  <c r="C240" i="18"/>
  <c r="D240" i="18"/>
  <c r="P238" i="18" l="1"/>
  <c r="O238" i="18"/>
  <c r="E240" i="18"/>
  <c r="F240" i="18" s="1"/>
  <c r="H240" i="18" s="1"/>
  <c r="Q238" i="18" l="1"/>
  <c r="R238" i="18" s="1"/>
  <c r="T238" i="18" s="1"/>
  <c r="O239" i="18" s="1"/>
  <c r="D241" i="18"/>
  <c r="C241" i="18"/>
  <c r="E241" i="18" s="1"/>
  <c r="F241" i="18" s="1"/>
  <c r="H241" i="18" s="1"/>
  <c r="P239" i="18" l="1"/>
  <c r="Q239" i="18" s="1"/>
  <c r="R239" i="18" s="1"/>
  <c r="T239" i="18" s="1"/>
  <c r="O240" i="18" s="1"/>
  <c r="C242" i="18"/>
  <c r="D242" i="18"/>
  <c r="E242" i="18" l="1"/>
  <c r="F242" i="18" s="1"/>
  <c r="H242" i="18" s="1"/>
  <c r="D243" i="18" s="1"/>
  <c r="P240" i="18"/>
  <c r="Q240" i="18" s="1"/>
  <c r="R240" i="18" s="1"/>
  <c r="T240" i="18" s="1"/>
  <c r="C243" i="18" l="1"/>
  <c r="E243" i="18" s="1"/>
  <c r="F243" i="18" s="1"/>
  <c r="H243" i="18" s="1"/>
  <c r="D244" i="18" s="1"/>
  <c r="P241" i="18"/>
  <c r="O241" i="18"/>
  <c r="Q241" i="18" s="1"/>
  <c r="R241" i="18" s="1"/>
  <c r="T241" i="18" s="1"/>
  <c r="C244" i="18" l="1"/>
  <c r="E244" i="18" s="1"/>
  <c r="F244" i="18" s="1"/>
  <c r="H244" i="18" s="1"/>
  <c r="D245" i="18" s="1"/>
  <c r="P242" i="18"/>
  <c r="O242" i="18"/>
  <c r="Q242" i="18" s="1"/>
  <c r="R242" i="18" s="1"/>
  <c r="T242" i="18" s="1"/>
  <c r="C245" i="18" l="1"/>
  <c r="E245" i="18" s="1"/>
  <c r="F245" i="18" s="1"/>
  <c r="H245" i="18" s="1"/>
  <c r="D246" i="18" s="1"/>
  <c r="P243" i="18"/>
  <c r="O243" i="18"/>
  <c r="Q243" i="18" l="1"/>
  <c r="R243" i="18" s="1"/>
  <c r="T243" i="18" s="1"/>
  <c r="O244" i="18" s="1"/>
  <c r="C246" i="18"/>
  <c r="E246" i="18" s="1"/>
  <c r="F246" i="18" s="1"/>
  <c r="H246" i="18" s="1"/>
  <c r="C247" i="18" s="1"/>
  <c r="P244" i="18" l="1"/>
  <c r="Q244" i="18" s="1"/>
  <c r="R244" i="18" s="1"/>
  <c r="T244" i="18" s="1"/>
  <c r="D247" i="18"/>
  <c r="E247" i="18" s="1"/>
  <c r="F247" i="18" s="1"/>
  <c r="H247" i="18" s="1"/>
  <c r="O245" i="18" l="1"/>
  <c r="P245" i="18"/>
  <c r="C248" i="18"/>
  <c r="D248" i="18"/>
  <c r="Q245" i="18" l="1"/>
  <c r="R245" i="18" s="1"/>
  <c r="T245" i="18" s="1"/>
  <c r="P246" i="18" s="1"/>
  <c r="E248" i="18"/>
  <c r="F248" i="18" s="1"/>
  <c r="H248" i="18" s="1"/>
  <c r="O246" i="18" l="1"/>
  <c r="Q246" i="18" s="1"/>
  <c r="R246" i="18" s="1"/>
  <c r="T246" i="18" s="1"/>
  <c r="P247" i="18" s="1"/>
  <c r="D249" i="18"/>
  <c r="C249" i="18"/>
  <c r="O247" i="18" l="1"/>
  <c r="Q247" i="18" s="1"/>
  <c r="R247" i="18" s="1"/>
  <c r="T247" i="18" s="1"/>
  <c r="E249" i="18"/>
  <c r="F249" i="18" s="1"/>
  <c r="H249" i="18" s="1"/>
  <c r="C250" i="18" s="1"/>
  <c r="D250" i="18" l="1"/>
  <c r="E250" i="18" s="1"/>
  <c r="F250" i="18" s="1"/>
  <c r="H250" i="18" s="1"/>
  <c r="O248" i="18"/>
  <c r="P248" i="18"/>
  <c r="D251" i="18" l="1"/>
  <c r="C251" i="18"/>
  <c r="E251" i="18" s="1"/>
  <c r="F251" i="18" s="1"/>
  <c r="H251" i="18" s="1"/>
  <c r="D252" i="18" s="1"/>
  <c r="Q248" i="18"/>
  <c r="R248" i="18" s="1"/>
  <c r="T248" i="18" s="1"/>
  <c r="P249" i="18" s="1"/>
  <c r="O249" i="18" l="1"/>
  <c r="Q249" i="18" s="1"/>
  <c r="R249" i="18" s="1"/>
  <c r="T249" i="18" s="1"/>
  <c r="C252" i="18"/>
  <c r="E252" i="18" s="1"/>
  <c r="F252" i="18" s="1"/>
  <c r="H252" i="18" s="1"/>
  <c r="D253" i="18" s="1"/>
  <c r="C253" i="18" l="1"/>
  <c r="E253" i="18" s="1"/>
  <c r="F253" i="18" s="1"/>
  <c r="H253" i="18" s="1"/>
  <c r="P250" i="18"/>
  <c r="O250" i="18"/>
  <c r="Q250" i="18" l="1"/>
  <c r="R250" i="18" s="1"/>
  <c r="T250" i="18" s="1"/>
  <c r="O251" i="18" s="1"/>
  <c r="D254" i="18"/>
  <c r="C254" i="18"/>
  <c r="P251" i="18"/>
  <c r="E254" i="18" l="1"/>
  <c r="F254" i="18" s="1"/>
  <c r="H254" i="18" s="1"/>
  <c r="C255" i="18" s="1"/>
  <c r="Q251" i="18"/>
  <c r="R251" i="18" s="1"/>
  <c r="T251" i="18" s="1"/>
  <c r="D255" i="18" l="1"/>
  <c r="E255" i="18" s="1"/>
  <c r="F255" i="18" s="1"/>
  <c r="H255" i="18" s="1"/>
  <c r="O252" i="18"/>
  <c r="P252" i="18"/>
  <c r="D256" i="18" l="1"/>
  <c r="C256" i="18"/>
  <c r="Q252" i="18"/>
  <c r="R252" i="18" s="1"/>
  <c r="T252" i="18" s="1"/>
  <c r="P253" i="18" s="1"/>
  <c r="E256" i="18" l="1"/>
  <c r="F256" i="18" s="1"/>
  <c r="H256" i="18" s="1"/>
  <c r="C257" i="18" s="1"/>
  <c r="D257" i="18"/>
  <c r="E257" i="18" s="1"/>
  <c r="F257" i="18" s="1"/>
  <c r="H257" i="18" s="1"/>
  <c r="O253" i="18"/>
  <c r="Q253" i="18" s="1"/>
  <c r="R253" i="18" s="1"/>
  <c r="T253" i="18" s="1"/>
  <c r="O254" i="18" s="1"/>
  <c r="C258" i="18" l="1"/>
  <c r="D258" i="18"/>
  <c r="P254" i="18"/>
  <c r="Q254" i="18" s="1"/>
  <c r="R254" i="18" s="1"/>
  <c r="T254" i="18" s="1"/>
  <c r="E258" i="18" l="1"/>
  <c r="F258" i="18" s="1"/>
  <c r="H258" i="18" s="1"/>
  <c r="P255" i="18"/>
  <c r="O255" i="18"/>
  <c r="Q255" i="18" s="1"/>
  <c r="R255" i="18" s="1"/>
  <c r="T255" i="18" s="1"/>
  <c r="C259" i="18" l="1"/>
  <c r="D259" i="18"/>
  <c r="O256" i="18"/>
  <c r="P256" i="18"/>
  <c r="Q256" i="18" l="1"/>
  <c r="R256" i="18" s="1"/>
  <c r="T256" i="18" s="1"/>
  <c r="P257" i="18" s="1"/>
  <c r="E259" i="18"/>
  <c r="F259" i="18" s="1"/>
  <c r="H259" i="18" s="1"/>
  <c r="O257" i="18" l="1"/>
  <c r="Q257" i="18" s="1"/>
  <c r="R257" i="18" s="1"/>
  <c r="T257" i="18" s="1"/>
  <c r="P258" i="18" s="1"/>
  <c r="C260" i="18"/>
  <c r="D260" i="18"/>
  <c r="E260" i="18" l="1"/>
  <c r="F260" i="18" s="1"/>
  <c r="H260" i="18" s="1"/>
  <c r="O258" i="18"/>
  <c r="Q258" i="18" s="1"/>
  <c r="R258" i="18" s="1"/>
  <c r="T258" i="18" s="1"/>
  <c r="C261" i="18"/>
  <c r="D261" i="18"/>
  <c r="O259" i="18" l="1"/>
  <c r="P259" i="18"/>
  <c r="E261" i="18"/>
  <c r="F261" i="18" s="1"/>
  <c r="H261" i="18" s="1"/>
  <c r="Q259" i="18" l="1"/>
  <c r="R259" i="18" s="1"/>
  <c r="T259" i="18" s="1"/>
  <c r="O260" i="18" s="1"/>
  <c r="C262" i="18"/>
  <c r="D262" i="18"/>
  <c r="P260" i="18" l="1"/>
  <c r="Q260" i="18" s="1"/>
  <c r="R260" i="18" s="1"/>
  <c r="T260" i="18" s="1"/>
  <c r="P261" i="18" s="1"/>
  <c r="E262" i="18"/>
  <c r="F262" i="18" s="1"/>
  <c r="H262" i="18" s="1"/>
  <c r="C263" i="18" s="1"/>
  <c r="D263" i="18" l="1"/>
  <c r="E263" i="18" s="1"/>
  <c r="F263" i="18" s="1"/>
  <c r="H263" i="18" s="1"/>
  <c r="O261" i="18"/>
  <c r="Q261" i="18" s="1"/>
  <c r="R261" i="18" s="1"/>
  <c r="T261" i="18" s="1"/>
  <c r="O262" i="18" s="1"/>
  <c r="Y49" i="7"/>
  <c r="V42" i="7" s="1"/>
  <c r="X42" i="7" s="1"/>
  <c r="Y48" i="11"/>
  <c r="V42" i="11"/>
  <c r="X42" i="11" s="1"/>
  <c r="P262" i="18" l="1"/>
  <c r="Q262" i="18" s="1"/>
  <c r="R262" i="18" s="1"/>
  <c r="T262" i="18" s="1"/>
  <c r="O263" i="18" s="1"/>
  <c r="P263" i="18" l="1"/>
  <c r="Q263" i="18" s="1"/>
  <c r="R263" i="18" s="1"/>
  <c r="T26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2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2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2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2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2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2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2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200-000008000000}">
      <text>
        <r>
          <rPr>
            <i/>
            <sz val="9"/>
            <color indexed="81"/>
            <rFont val="Tahoma"/>
            <family val="2"/>
          </rPr>
          <t>The actual amounts saved are represented here.</t>
        </r>
      </text>
    </comment>
    <comment ref="O41" authorId="0" shapeId="0" xr:uid="{00000000-0006-0000-02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B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B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B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B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B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B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B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B00-000008000000}">
      <text>
        <r>
          <rPr>
            <i/>
            <sz val="9"/>
            <color indexed="81"/>
            <rFont val="Tahoma"/>
            <family val="2"/>
          </rPr>
          <t>The actual amounts saved are represented here.</t>
        </r>
      </text>
    </comment>
    <comment ref="O41" authorId="0" shapeId="0" xr:uid="{00000000-0006-0000-0B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C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C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C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C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C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C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C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C00-000008000000}">
      <text>
        <r>
          <rPr>
            <i/>
            <sz val="9"/>
            <color indexed="81"/>
            <rFont val="Tahoma"/>
            <family val="2"/>
          </rPr>
          <t>The actual amounts saved are represented here.</t>
        </r>
      </text>
    </comment>
    <comment ref="O41" authorId="0" shapeId="0" xr:uid="{00000000-0006-0000-0C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D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D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D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D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D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D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D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D00-000008000000}">
      <text>
        <r>
          <rPr>
            <i/>
            <sz val="9"/>
            <color indexed="81"/>
            <rFont val="Tahoma"/>
            <family val="2"/>
          </rPr>
          <t>The actual amounts saved are represented here.</t>
        </r>
      </text>
    </comment>
    <comment ref="O41" authorId="0" shapeId="0" xr:uid="{00000000-0006-0000-0D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E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E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E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E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E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E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E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E00-000008000000}">
      <text>
        <r>
          <rPr>
            <i/>
            <sz val="9"/>
            <color indexed="81"/>
            <rFont val="Tahoma"/>
            <family val="2"/>
          </rPr>
          <t>The actual amounts saved are represented here.</t>
        </r>
      </text>
    </comment>
    <comment ref="O41" authorId="0" shapeId="0" xr:uid="{00000000-0006-0000-0E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B21" authorId="0" shapeId="0" xr:uid="{00000000-0006-0000-0F00-000001000000}">
      <text>
        <r>
          <rPr>
            <b/>
            <sz val="9"/>
            <color indexed="9"/>
            <rFont val="Century Gothic"/>
            <family val="2"/>
          </rPr>
          <t>Formal &amp; Retail</t>
        </r>
        <r>
          <rPr>
            <sz val="9"/>
            <color indexed="81"/>
            <rFont val="Century Gothic"/>
            <family val="2"/>
          </rPr>
          <t xml:space="preserve"> -  refers to formal credit agreements with institutions. E.g. Loans at banks, clothing accounts, e.t.c.</t>
        </r>
      </text>
    </comment>
    <comment ref="B22" authorId="0" shapeId="0" xr:uid="{00000000-0006-0000-0F00-000002000000}">
      <text>
        <r>
          <rPr>
            <sz val="9"/>
            <color indexed="81"/>
            <rFont val="Century Gothic"/>
            <family val="2"/>
          </rPr>
          <t xml:space="preserve">Name of the institution owed.
</t>
        </r>
      </text>
    </comment>
    <comment ref="C22" authorId="0" shapeId="0" xr:uid="{00000000-0006-0000-0F00-000003000000}">
      <text>
        <r>
          <rPr>
            <sz val="9"/>
            <color indexed="81"/>
            <rFont val="Century Gothic"/>
            <family val="2"/>
          </rPr>
          <t xml:space="preserve">This is the </t>
        </r>
        <r>
          <rPr>
            <b/>
            <i/>
            <sz val="9"/>
            <color indexed="81"/>
            <rFont val="Century Gothic"/>
            <family val="2"/>
          </rPr>
          <t>Initial amount Owed</t>
        </r>
        <r>
          <rPr>
            <sz val="9"/>
            <color indexed="81"/>
            <rFont val="Century Gothic"/>
            <family val="2"/>
          </rPr>
          <t xml:space="preserve"> before interest is charged.</t>
        </r>
      </text>
    </comment>
    <comment ref="D22" authorId="0" shapeId="0" xr:uid="{00000000-0006-0000-0F00-000004000000}">
      <text>
        <r>
          <rPr>
            <sz val="9"/>
            <color theme="1"/>
            <rFont val="Century Gothic"/>
            <family val="2"/>
          </rPr>
          <t xml:space="preserve">The </t>
        </r>
        <r>
          <rPr>
            <b/>
            <i/>
            <sz val="9"/>
            <color theme="1"/>
            <rFont val="Century Gothic"/>
            <family val="2"/>
          </rPr>
          <t>monthly interest</t>
        </r>
        <r>
          <rPr>
            <sz val="9"/>
            <color theme="1"/>
            <rFont val="Century Gothic"/>
            <family val="2"/>
          </rPr>
          <t xml:space="preserve"> is calculated as </t>
        </r>
        <r>
          <rPr>
            <b/>
            <sz val="9"/>
            <color theme="1"/>
            <rFont val="Century Gothic"/>
            <family val="2"/>
          </rPr>
          <t>Annual interest</t>
        </r>
        <r>
          <rPr>
            <sz val="9"/>
            <color theme="1"/>
            <rFont val="Century Gothic"/>
            <family val="2"/>
          </rPr>
          <t xml:space="preserve"> divided by 12 
See example: 
10% annual interest must be typed in as: </t>
        </r>
        <r>
          <rPr>
            <b/>
            <i/>
            <sz val="9"/>
            <color indexed="9"/>
            <rFont val="Century Gothic"/>
            <family val="2"/>
          </rPr>
          <t>=10%/1 2</t>
        </r>
      </text>
    </comment>
    <comment ref="E22" authorId="0" shapeId="0" xr:uid="{00000000-0006-0000-0F00-000005000000}">
      <text>
        <r>
          <rPr>
            <sz val="9"/>
            <color theme="1"/>
            <rFont val="Century Gothic"/>
            <family val="2"/>
          </rPr>
          <t>Enter the amount of the</t>
        </r>
        <r>
          <rPr>
            <b/>
            <sz val="9"/>
            <color theme="1"/>
            <rFont val="Century Gothic"/>
            <family val="2"/>
          </rPr>
          <t xml:space="preserve"> Annual interest</t>
        </r>
        <r>
          <rPr>
            <sz val="9"/>
            <color theme="1"/>
            <rFont val="Century Gothic"/>
            <family val="2"/>
          </rPr>
          <t xml:space="preserve"> charged here.</t>
        </r>
      </text>
    </comment>
    <comment ref="F22" authorId="0" shapeId="0" xr:uid="{00000000-0006-0000-0F00-000006000000}">
      <text>
        <r>
          <rPr>
            <sz val="9"/>
            <color indexed="81"/>
            <rFont val="Century Gothic"/>
            <family val="2"/>
          </rPr>
          <t xml:space="preserve">This is the Payment Term in months. i.e. 
</t>
        </r>
        <r>
          <rPr>
            <b/>
            <i/>
            <sz val="9"/>
            <color indexed="9"/>
            <rFont val="Century Gothic"/>
            <family val="2"/>
          </rPr>
          <t>1 year</t>
        </r>
        <r>
          <rPr>
            <sz val="9"/>
            <color indexed="9"/>
            <rFont val="Century Gothic"/>
            <family val="2"/>
          </rPr>
          <t xml:space="preserve"> </t>
        </r>
        <r>
          <rPr>
            <sz val="9"/>
            <color indexed="81"/>
            <rFont val="Century Gothic"/>
            <family val="2"/>
          </rPr>
          <t xml:space="preserve">is equal to </t>
        </r>
        <r>
          <rPr>
            <b/>
            <i/>
            <sz val="9"/>
            <color indexed="9"/>
            <rFont val="Century Gothic"/>
            <family val="2"/>
          </rPr>
          <t>12 months</t>
        </r>
        <r>
          <rPr>
            <b/>
            <i/>
            <sz val="9"/>
            <color indexed="81"/>
            <rFont val="Century Gothic"/>
            <family val="2"/>
          </rPr>
          <t>.</t>
        </r>
      </text>
    </comment>
    <comment ref="G22" authorId="0" shapeId="0" xr:uid="{00000000-0006-0000-0F00-000007000000}">
      <text>
        <r>
          <rPr>
            <b/>
            <i/>
            <sz val="9"/>
            <color indexed="81"/>
            <rFont val="Century Gothic"/>
            <family val="2"/>
          </rPr>
          <t>Minimum Installments</t>
        </r>
        <r>
          <rPr>
            <sz val="9"/>
            <color indexed="81"/>
            <rFont val="Century Gothic"/>
            <family val="2"/>
          </rPr>
          <t xml:space="preserve"> are automatically calculated. The cell is protected and will not be editable.</t>
        </r>
        <r>
          <rPr>
            <sz val="9"/>
            <color indexed="81"/>
            <rFont val="Tahoma"/>
            <family val="2"/>
          </rPr>
          <t xml:space="preserve">
</t>
        </r>
      </text>
    </comment>
    <comment ref="H22" authorId="0" shapeId="0" xr:uid="{00000000-0006-0000-0F00-000008000000}">
      <text>
        <r>
          <rPr>
            <sz val="9"/>
            <color theme="1"/>
            <rFont val="Century Gothic"/>
            <family val="2"/>
          </rPr>
          <t xml:space="preserve">Enter your January monthly installment here.
</t>
        </r>
      </text>
    </comment>
    <comment ref="I22" authorId="0" shapeId="0" xr:uid="{00000000-0006-0000-0F00-000009000000}">
      <text>
        <r>
          <rPr>
            <sz val="9"/>
            <color theme="1"/>
            <rFont val="Century Gothic"/>
            <family val="2"/>
          </rPr>
          <t>Enter your February monthly installment here.</t>
        </r>
      </text>
    </comment>
    <comment ref="J22" authorId="0" shapeId="0" xr:uid="{00000000-0006-0000-0F00-00000A000000}">
      <text>
        <r>
          <rPr>
            <sz val="9"/>
            <color theme="1"/>
            <rFont val="Century Gothic"/>
            <family val="2"/>
          </rPr>
          <t>Enter your March monthly installment here.</t>
        </r>
      </text>
    </comment>
    <comment ref="K22" authorId="0" shapeId="0" xr:uid="{00000000-0006-0000-0F00-00000B000000}">
      <text>
        <r>
          <rPr>
            <sz val="9"/>
            <color indexed="81"/>
            <rFont val="Century Gothic"/>
            <family val="2"/>
          </rPr>
          <t>Enter your April monthly installment here.</t>
        </r>
      </text>
    </comment>
    <comment ref="L22" authorId="0" shapeId="0" xr:uid="{00000000-0006-0000-0F00-00000C000000}">
      <text>
        <r>
          <rPr>
            <sz val="9"/>
            <color theme="1"/>
            <rFont val="Century Gothic"/>
            <family val="2"/>
          </rPr>
          <t>Enter your May monthly installment here.</t>
        </r>
      </text>
    </comment>
    <comment ref="M22" authorId="0" shapeId="0" xr:uid="{00000000-0006-0000-0F00-00000D000000}">
      <text>
        <r>
          <rPr>
            <sz val="9"/>
            <color theme="1"/>
            <rFont val="Century Gothic"/>
            <family val="2"/>
          </rPr>
          <t>Enter your June monthly installment here.</t>
        </r>
      </text>
    </comment>
    <comment ref="N22" authorId="0" shapeId="0" xr:uid="{00000000-0006-0000-0F00-00000E000000}">
      <text>
        <r>
          <rPr>
            <sz val="9"/>
            <color theme="1"/>
            <rFont val="Century Gothic"/>
            <family val="2"/>
          </rPr>
          <t>Enter your July monthly installment here.</t>
        </r>
      </text>
    </comment>
    <comment ref="O22" authorId="0" shapeId="0" xr:uid="{00000000-0006-0000-0F00-00000F000000}">
      <text>
        <r>
          <rPr>
            <sz val="9"/>
            <color theme="1"/>
            <rFont val="Century Gothic"/>
            <family val="2"/>
          </rPr>
          <t>Enter your August monthly installment here.</t>
        </r>
      </text>
    </comment>
    <comment ref="P22" authorId="0" shapeId="0" xr:uid="{00000000-0006-0000-0F00-000010000000}">
      <text>
        <r>
          <rPr>
            <sz val="9"/>
            <color theme="1"/>
            <rFont val="Century Gothic"/>
            <family val="2"/>
          </rPr>
          <t>Enter your September monthly installment here.</t>
        </r>
      </text>
    </comment>
    <comment ref="Q22" authorId="0" shapeId="0" xr:uid="{00000000-0006-0000-0F00-000011000000}">
      <text>
        <r>
          <rPr>
            <sz val="9"/>
            <color theme="1"/>
            <rFont val="Century Gothic"/>
            <family val="2"/>
          </rPr>
          <t>Enter your October monthly installment here.</t>
        </r>
      </text>
    </comment>
    <comment ref="R22" authorId="0" shapeId="0" xr:uid="{00000000-0006-0000-0F00-000012000000}">
      <text>
        <r>
          <rPr>
            <sz val="9"/>
            <color theme="1"/>
            <rFont val="Century Gothic"/>
            <family val="2"/>
          </rPr>
          <t>Enter your November monthly installment here.</t>
        </r>
      </text>
    </comment>
    <comment ref="S22" authorId="0" shapeId="0" xr:uid="{00000000-0006-0000-0F00-000013000000}">
      <text>
        <r>
          <rPr>
            <sz val="9"/>
            <color theme="1"/>
            <rFont val="Century Gothic"/>
            <family val="2"/>
          </rPr>
          <t>Enter your December monthly installment here.</t>
        </r>
      </text>
    </comment>
    <comment ref="T22" authorId="0" shapeId="0" xr:uid="{00000000-0006-0000-0F00-000014000000}">
      <text>
        <r>
          <rPr>
            <b/>
            <sz val="9"/>
            <color indexed="9"/>
            <rFont val="Century Gothic"/>
            <family val="2"/>
          </rPr>
          <t xml:space="preserve">% to Goal </t>
        </r>
        <r>
          <rPr>
            <sz val="9"/>
            <color indexed="81"/>
            <rFont val="Century Gothic"/>
            <family val="2"/>
          </rPr>
          <t>indicates how far you are from paying off the debt.</t>
        </r>
      </text>
    </comment>
    <comment ref="U22" authorId="0" shapeId="0" xr:uid="{00000000-0006-0000-0F00-000015000000}">
      <text>
        <r>
          <rPr>
            <b/>
            <sz val="9"/>
            <color indexed="9"/>
            <rFont val="Century Gothic"/>
            <family val="2"/>
          </rPr>
          <t>Annual payments</t>
        </r>
        <r>
          <rPr>
            <sz val="9"/>
            <color theme="1"/>
            <rFont val="Century Gothic"/>
            <family val="2"/>
          </rPr>
          <t xml:space="preserve"> represents the monthly repayments (including interest charged).</t>
        </r>
      </text>
    </comment>
    <comment ref="V22" authorId="0" shapeId="0" xr:uid="{00000000-0006-0000-0F00-000016000000}">
      <text>
        <r>
          <rPr>
            <b/>
            <sz val="9"/>
            <color theme="1"/>
            <rFont val="Century Gothic"/>
            <family val="2"/>
          </rPr>
          <t>Total Amount to be paid</t>
        </r>
        <r>
          <rPr>
            <sz val="9"/>
            <color theme="1"/>
            <rFont val="Century Gothic"/>
            <family val="2"/>
          </rPr>
          <t xml:space="preserve"> represents all the amounts still outstanding.</t>
        </r>
      </text>
    </comment>
    <comment ref="W22" authorId="0" shapeId="0" xr:uid="{00000000-0006-0000-0F00-000017000000}">
      <text>
        <r>
          <rPr>
            <b/>
            <sz val="9"/>
            <color indexed="9"/>
            <rFont val="Century Gothic"/>
            <family val="2"/>
          </rPr>
          <t>TOTAL COST OF CREDIT</t>
        </r>
        <r>
          <rPr>
            <sz val="9"/>
            <color indexed="81"/>
            <rFont val="Century Gothic"/>
            <family val="2"/>
          </rPr>
          <t xml:space="preserve"> - represents the Initial amount Owed plus interest charged.</t>
        </r>
      </text>
    </comment>
    <comment ref="X22" authorId="0" shapeId="0" xr:uid="{00000000-0006-0000-0F00-000018000000}">
      <text>
        <r>
          <rPr>
            <b/>
            <sz val="9"/>
            <color indexed="9"/>
            <rFont val="Century Gothic"/>
            <family val="2"/>
          </rPr>
          <t>TOTAL AMOUNT PAID</t>
        </r>
        <r>
          <rPr>
            <sz val="9"/>
            <color theme="1"/>
            <rFont val="Century Gothic"/>
            <family val="2"/>
          </rPr>
          <t xml:space="preserve"> represents the accumulative monthly payments.</t>
        </r>
      </text>
    </comment>
    <comment ref="Y26" authorId="0" shapeId="0" xr:uid="{00000000-0006-0000-0F00-000019000000}">
      <text>
        <r>
          <rPr>
            <b/>
            <sz val="9"/>
            <color indexed="9"/>
            <rFont val="Century Gothic"/>
            <family val="2"/>
          </rPr>
          <t>Balance</t>
        </r>
        <r>
          <rPr>
            <sz val="9"/>
            <color theme="1"/>
            <rFont val="Century Gothic"/>
            <family val="2"/>
          </rPr>
          <t xml:space="preserve"> - represents the outstanding amount, i.e. the difference between TOTAL COST OF CREDITS minus accumulative monthly Installments.</t>
        </r>
      </text>
    </comment>
    <comment ref="T31" authorId="0" shapeId="0" xr:uid="{00000000-0006-0000-0F00-00001A000000}">
      <text>
        <r>
          <rPr>
            <sz val="9"/>
            <color theme="1"/>
            <rFont val="Century Gothic"/>
            <family val="2"/>
          </rPr>
          <t>This indicates the average % payed for all Formal &amp; Retail debt.</t>
        </r>
      </text>
    </comment>
    <comment ref="U31" authorId="0" shapeId="0" xr:uid="{00000000-0006-0000-0F00-00001B000000}">
      <text>
        <r>
          <rPr>
            <sz val="9"/>
            <color theme="1"/>
            <rFont val="Century Gothic"/>
            <family val="2"/>
          </rPr>
          <t>Total of Annual Payments for Formal &amp; Retail debt.</t>
        </r>
      </text>
    </comment>
    <comment ref="V31" authorId="0" shapeId="0" xr:uid="{00000000-0006-0000-0F00-00001C000000}">
      <text>
        <r>
          <rPr>
            <sz val="9"/>
            <color theme="1"/>
            <rFont val="Century Gothic"/>
            <family val="2"/>
          </rPr>
          <t>Total of all monthly installments paid.</t>
        </r>
      </text>
    </comment>
    <comment ref="W31" authorId="0" shapeId="0" xr:uid="{00000000-0006-0000-0F00-00001D000000}">
      <text>
        <r>
          <rPr>
            <sz val="9"/>
            <color theme="1"/>
            <rFont val="Century Gothic"/>
            <family val="2"/>
          </rPr>
          <t>Sum Total of all debt from Formal &amp; Retail institutions.</t>
        </r>
      </text>
    </comment>
    <comment ref="X31" authorId="0" shapeId="0" xr:uid="{00000000-0006-0000-0F00-00001E000000}">
      <text>
        <r>
          <rPr>
            <sz val="9"/>
            <color theme="1"/>
            <rFont val="Century Gothic"/>
            <family val="2"/>
          </rPr>
          <t>Sum Total of all debt paid to Formal &amp; Retail institutions.</t>
        </r>
      </text>
    </comment>
    <comment ref="B32" authorId="0" shapeId="0" xr:uid="{00000000-0006-0000-0F00-00001F000000}">
      <text>
        <r>
          <rPr>
            <b/>
            <sz val="9"/>
            <color indexed="9"/>
            <rFont val="Century Gothic"/>
            <family val="2"/>
          </rPr>
          <t>Informal</t>
        </r>
        <r>
          <rPr>
            <sz val="9"/>
            <color theme="1"/>
            <rFont val="Century Gothic"/>
            <family val="2"/>
          </rPr>
          <t xml:space="preserve"> -  refers to  credit agreements with credit-lending people or clubs. E.g. Loans from: Mashonisa, Stokvel, e.t.c.</t>
        </r>
      </text>
    </comment>
    <comment ref="B33" authorId="0" shapeId="0" xr:uid="{00000000-0006-0000-0F00-000020000000}">
      <text>
        <r>
          <rPr>
            <sz val="9"/>
            <color theme="1"/>
            <rFont val="Century Gothic"/>
            <family val="2"/>
          </rPr>
          <t xml:space="preserve">Name of the People or Clubs owed.
</t>
        </r>
      </text>
    </comment>
    <comment ref="C33" authorId="0" shapeId="0" xr:uid="{00000000-0006-0000-0F00-000021000000}">
      <text>
        <r>
          <rPr>
            <sz val="9"/>
            <color theme="1"/>
            <rFont val="Century Gothic"/>
            <family val="2"/>
          </rPr>
          <t xml:space="preserve">This is the </t>
        </r>
        <r>
          <rPr>
            <b/>
            <i/>
            <sz val="9"/>
            <color theme="1"/>
            <rFont val="Century Gothic"/>
            <family val="2"/>
          </rPr>
          <t xml:space="preserve">Initial amount Owed </t>
        </r>
        <r>
          <rPr>
            <sz val="9"/>
            <color theme="1"/>
            <rFont val="Century Gothic"/>
            <family val="2"/>
          </rPr>
          <t>before interest is charged.</t>
        </r>
      </text>
    </comment>
    <comment ref="D33" authorId="0" shapeId="0" xr:uid="{00000000-0006-0000-0F00-000022000000}">
      <text>
        <r>
          <rPr>
            <sz val="9"/>
            <color theme="1"/>
            <rFont val="Century Gothic"/>
            <family val="2"/>
          </rPr>
          <t xml:space="preserve">The </t>
        </r>
        <r>
          <rPr>
            <b/>
            <sz val="9"/>
            <color theme="1"/>
            <rFont val="Century Gothic"/>
            <family val="2"/>
          </rPr>
          <t>Annual interest</t>
        </r>
        <r>
          <rPr>
            <sz val="9"/>
            <color theme="1"/>
            <rFont val="Century Gothic"/>
            <family val="2"/>
          </rPr>
          <t xml:space="preserve"> must be divided by 12 in order to workout the monthly interest charged for the calculation.
See example: 
10% annual interest must be typed in as: </t>
        </r>
        <r>
          <rPr>
            <b/>
            <i/>
            <sz val="9"/>
            <color indexed="9"/>
            <rFont val="Century Gothic"/>
            <family val="2"/>
          </rPr>
          <t>=10%/1 2</t>
        </r>
      </text>
    </comment>
    <comment ref="E33" authorId="0" shapeId="0" xr:uid="{00000000-0006-0000-0F00-000023000000}">
      <text>
        <r>
          <rPr>
            <sz val="9"/>
            <color theme="1"/>
            <rFont val="Century Gothic"/>
            <family val="2"/>
          </rPr>
          <t>Enter the amount of the</t>
        </r>
        <r>
          <rPr>
            <b/>
            <sz val="9"/>
            <color theme="1"/>
            <rFont val="Century Gothic"/>
            <family val="2"/>
          </rPr>
          <t xml:space="preserve"> Annual interest</t>
        </r>
        <r>
          <rPr>
            <sz val="9"/>
            <color theme="1"/>
            <rFont val="Century Gothic"/>
            <family val="2"/>
          </rPr>
          <t xml:space="preserve"> charged here.</t>
        </r>
      </text>
    </comment>
    <comment ref="F33" authorId="0" shapeId="0" xr:uid="{00000000-0006-0000-0F00-000024000000}">
      <text>
        <r>
          <rPr>
            <sz val="9"/>
            <color theme="1"/>
            <rFont val="Century Gothic"/>
            <family val="2"/>
          </rPr>
          <t xml:space="preserve">This is the Payment Term in months. i.e. 
</t>
        </r>
        <r>
          <rPr>
            <b/>
            <i/>
            <sz val="9"/>
            <color indexed="9"/>
            <rFont val="Century Gothic"/>
            <family val="2"/>
          </rPr>
          <t>1 year</t>
        </r>
        <r>
          <rPr>
            <sz val="9"/>
            <color theme="1"/>
            <rFont val="Century Gothic"/>
            <family val="2"/>
          </rPr>
          <t xml:space="preserve"> is equal to </t>
        </r>
        <r>
          <rPr>
            <b/>
            <sz val="9"/>
            <color indexed="9"/>
            <rFont val="Century Gothic"/>
            <family val="2"/>
          </rPr>
          <t>12 months</t>
        </r>
        <r>
          <rPr>
            <sz val="9"/>
            <color theme="1"/>
            <rFont val="Century Gothic"/>
            <family val="2"/>
          </rPr>
          <t xml:space="preserve">.
</t>
        </r>
      </text>
    </comment>
    <comment ref="G33" authorId="0" shapeId="0" xr:uid="{00000000-0006-0000-0F00-000025000000}">
      <text>
        <r>
          <rPr>
            <b/>
            <i/>
            <sz val="9"/>
            <color theme="1"/>
            <rFont val="Century Gothic"/>
            <family val="2"/>
          </rPr>
          <t>Minimum Installments</t>
        </r>
        <r>
          <rPr>
            <sz val="9"/>
            <color theme="1"/>
            <rFont val="Century Gothic"/>
            <family val="2"/>
          </rPr>
          <t xml:space="preserve"> are automatically calculated. The cell is protected and will not be editable.
</t>
        </r>
      </text>
    </comment>
    <comment ref="H33" authorId="0" shapeId="0" xr:uid="{00000000-0006-0000-0F00-000026000000}">
      <text>
        <r>
          <rPr>
            <sz val="9"/>
            <color theme="1"/>
            <rFont val="Century Gothic"/>
            <family val="2"/>
          </rPr>
          <t xml:space="preserve">Enter your January monthly installment here.
</t>
        </r>
      </text>
    </comment>
    <comment ref="I33" authorId="0" shapeId="0" xr:uid="{00000000-0006-0000-0F00-000027000000}">
      <text>
        <r>
          <rPr>
            <sz val="9"/>
            <color theme="1"/>
            <rFont val="Century Gothic"/>
            <family val="2"/>
          </rPr>
          <t>Enter your February monthly installment here.</t>
        </r>
      </text>
    </comment>
    <comment ref="J33" authorId="0" shapeId="0" xr:uid="{00000000-0006-0000-0F00-000028000000}">
      <text>
        <r>
          <rPr>
            <sz val="9"/>
            <color theme="1"/>
            <rFont val="Century Gothic"/>
            <family val="2"/>
          </rPr>
          <t>Enter your March monthly installment here.</t>
        </r>
      </text>
    </comment>
    <comment ref="K33" authorId="0" shapeId="0" xr:uid="{00000000-0006-0000-0F00-000029000000}">
      <text>
        <r>
          <rPr>
            <sz val="9"/>
            <color theme="1"/>
            <rFont val="Century Gothic"/>
            <family val="2"/>
          </rPr>
          <t>Enter your April monthly installment here.</t>
        </r>
      </text>
    </comment>
    <comment ref="L33" authorId="0" shapeId="0" xr:uid="{00000000-0006-0000-0F00-00002A000000}">
      <text>
        <r>
          <rPr>
            <sz val="9"/>
            <color theme="1"/>
            <rFont val="Century Gothic"/>
            <family val="2"/>
          </rPr>
          <t>Enter your May monthly installment here.</t>
        </r>
      </text>
    </comment>
    <comment ref="M33" authorId="0" shapeId="0" xr:uid="{00000000-0006-0000-0F00-00002B000000}">
      <text>
        <r>
          <rPr>
            <sz val="9"/>
            <color theme="1"/>
            <rFont val="Century Gothic"/>
            <family val="2"/>
          </rPr>
          <t>Enter your June monthly installment here.</t>
        </r>
      </text>
    </comment>
    <comment ref="N33" authorId="0" shapeId="0" xr:uid="{00000000-0006-0000-0F00-00002C000000}">
      <text>
        <r>
          <rPr>
            <sz val="9"/>
            <color theme="1"/>
            <rFont val="Century Gothic"/>
            <family val="2"/>
          </rPr>
          <t>Enter your July monthly installment here.</t>
        </r>
      </text>
    </comment>
    <comment ref="O33" authorId="0" shapeId="0" xr:uid="{00000000-0006-0000-0F00-00002D000000}">
      <text>
        <r>
          <rPr>
            <sz val="9"/>
            <color theme="1"/>
            <rFont val="Century Gothic"/>
            <family val="2"/>
          </rPr>
          <t>Enter your August monthly installment here.</t>
        </r>
      </text>
    </comment>
    <comment ref="P33" authorId="0" shapeId="0" xr:uid="{00000000-0006-0000-0F00-00002E000000}">
      <text>
        <r>
          <rPr>
            <sz val="9"/>
            <color theme="1"/>
            <rFont val="Century Gothic"/>
            <family val="2"/>
          </rPr>
          <t>Enter your September monthly installment here.</t>
        </r>
      </text>
    </comment>
    <comment ref="Q33" authorId="0" shapeId="0" xr:uid="{00000000-0006-0000-0F00-00002F000000}">
      <text>
        <r>
          <rPr>
            <sz val="9"/>
            <color theme="1"/>
            <rFont val="Century Gothic"/>
            <family val="2"/>
          </rPr>
          <t>Enter your October monthly installment here.</t>
        </r>
      </text>
    </comment>
    <comment ref="R33" authorId="0" shapeId="0" xr:uid="{00000000-0006-0000-0F00-000030000000}">
      <text>
        <r>
          <rPr>
            <sz val="9"/>
            <color theme="1"/>
            <rFont val="Century Gothic"/>
            <family val="2"/>
          </rPr>
          <t>Enter your November monthly installment here.</t>
        </r>
      </text>
    </comment>
    <comment ref="S33" authorId="0" shapeId="0" xr:uid="{00000000-0006-0000-0F00-000031000000}">
      <text>
        <r>
          <rPr>
            <sz val="9"/>
            <color theme="1"/>
            <rFont val="Century Gothic"/>
            <family val="2"/>
          </rPr>
          <t>Enter your December monthly installment here.</t>
        </r>
      </text>
    </comment>
    <comment ref="T33" authorId="0" shapeId="0" xr:uid="{00000000-0006-0000-0F00-000032000000}">
      <text>
        <r>
          <rPr>
            <b/>
            <sz val="9"/>
            <color indexed="9"/>
            <rFont val="Century Gothic"/>
            <family val="2"/>
          </rPr>
          <t>% to Goal</t>
        </r>
        <r>
          <rPr>
            <sz val="9"/>
            <color theme="1"/>
            <rFont val="Century Gothic"/>
            <family val="2"/>
          </rPr>
          <t xml:space="preserve"> indicates how far you are from paying off the debt.</t>
        </r>
      </text>
    </comment>
    <comment ref="U33" authorId="0" shapeId="0" xr:uid="{00000000-0006-0000-0F00-000033000000}">
      <text>
        <r>
          <rPr>
            <b/>
            <sz val="9"/>
            <color indexed="9"/>
            <rFont val="Century Gothic"/>
            <family val="2"/>
          </rPr>
          <t>Annual payments</t>
        </r>
        <r>
          <rPr>
            <sz val="9"/>
            <color theme="1"/>
            <rFont val="Century Gothic"/>
            <family val="2"/>
          </rPr>
          <t xml:space="preserve"> represents the monthly repayments (including interest charged).</t>
        </r>
      </text>
    </comment>
    <comment ref="V33" authorId="0" shapeId="0" xr:uid="{00000000-0006-0000-0F00-000034000000}">
      <text>
        <r>
          <rPr>
            <b/>
            <sz val="9"/>
            <color theme="1"/>
            <rFont val="Century Gothic"/>
            <family val="2"/>
          </rPr>
          <t>Total Amount to be paid</t>
        </r>
        <r>
          <rPr>
            <sz val="9"/>
            <color theme="1"/>
            <rFont val="Century Gothic"/>
            <family val="2"/>
          </rPr>
          <t xml:space="preserve"> represents all the amounts still outstanding.</t>
        </r>
      </text>
    </comment>
    <comment ref="W33" authorId="0" shapeId="0" xr:uid="{00000000-0006-0000-0F00-000035000000}">
      <text>
        <r>
          <rPr>
            <b/>
            <sz val="9"/>
            <color indexed="9"/>
            <rFont val="Century Gothic"/>
            <family val="2"/>
          </rPr>
          <t>TOTAL COST OF CREDIT</t>
        </r>
        <r>
          <rPr>
            <sz val="9"/>
            <color indexed="81"/>
            <rFont val="Century Gothic"/>
            <family val="2"/>
          </rPr>
          <t xml:space="preserve"> - represents the Initial amount Owed plus interest charged.</t>
        </r>
      </text>
    </comment>
    <comment ref="X33" authorId="0" shapeId="0" xr:uid="{00000000-0006-0000-0F00-000036000000}">
      <text>
        <r>
          <rPr>
            <b/>
            <sz val="9"/>
            <color indexed="9"/>
            <rFont val="Century Gothic"/>
            <family val="2"/>
          </rPr>
          <t>TOTAL AMOUNT PAID</t>
        </r>
        <r>
          <rPr>
            <sz val="9"/>
            <color theme="1"/>
            <rFont val="Century Gothic"/>
            <family val="2"/>
          </rPr>
          <t xml:space="preserve"> represents the accumulative monthly payments.</t>
        </r>
      </text>
    </comment>
    <comment ref="Y37" authorId="0" shapeId="0" xr:uid="{00000000-0006-0000-0F00-000037000000}">
      <text>
        <r>
          <rPr>
            <b/>
            <sz val="9"/>
            <color indexed="9"/>
            <rFont val="Century Gothic"/>
            <family val="2"/>
          </rPr>
          <t>Balance</t>
        </r>
        <r>
          <rPr>
            <sz val="9"/>
            <color indexed="9"/>
            <rFont val="Century Gothic"/>
            <family val="2"/>
          </rPr>
          <t xml:space="preserve"> </t>
        </r>
        <r>
          <rPr>
            <sz val="9"/>
            <color indexed="81"/>
            <rFont val="Century Gothic"/>
            <family val="2"/>
          </rPr>
          <t>- represents the outstanding amount, i.e. the difference between TOTAL COST OF CREDITS minus accumulative monthly Installments.</t>
        </r>
      </text>
    </comment>
    <comment ref="T39" authorId="0" shapeId="0" xr:uid="{00000000-0006-0000-0F00-000038000000}">
      <text>
        <r>
          <rPr>
            <sz val="9"/>
            <color theme="1"/>
            <rFont val="Century Gothic"/>
            <family val="2"/>
          </rPr>
          <t>This indicates the average % payed for all Informal debt.</t>
        </r>
      </text>
    </comment>
    <comment ref="U39" authorId="0" shapeId="0" xr:uid="{00000000-0006-0000-0F00-000039000000}">
      <text>
        <r>
          <rPr>
            <sz val="9"/>
            <color theme="1"/>
            <rFont val="Century Gothic"/>
            <family val="2"/>
          </rPr>
          <t>Total of Annual Payments for Informal  debt.</t>
        </r>
      </text>
    </comment>
    <comment ref="V39" authorId="0" shapeId="0" xr:uid="{00000000-0006-0000-0F00-00003A000000}">
      <text>
        <r>
          <rPr>
            <sz val="9"/>
            <color theme="1"/>
            <rFont val="Century Gothic"/>
            <family val="2"/>
          </rPr>
          <t>Total of all monthly installments paid.</t>
        </r>
      </text>
    </comment>
    <comment ref="W39" authorId="0" shapeId="0" xr:uid="{00000000-0006-0000-0F00-00003B000000}">
      <text>
        <r>
          <rPr>
            <sz val="9"/>
            <color theme="1"/>
            <rFont val="Century Gothic"/>
            <family val="2"/>
          </rPr>
          <t>Sum Total of all debt from Informal Lenders,e.g. Loans from Mashonisa or Stokvel.</t>
        </r>
      </text>
    </comment>
    <comment ref="X39" authorId="0" shapeId="0" xr:uid="{00000000-0006-0000-0F00-00003C000000}">
      <text>
        <r>
          <rPr>
            <sz val="9"/>
            <color theme="1"/>
            <rFont val="Century Gothic"/>
            <family val="2"/>
          </rPr>
          <t>Sum Total of all debt paid to Informal Lenders.</t>
        </r>
      </text>
    </comment>
    <comment ref="B40" authorId="0" shapeId="0" xr:uid="{00000000-0006-0000-0F00-00003D000000}">
      <text>
        <r>
          <rPr>
            <b/>
            <sz val="9"/>
            <color indexed="9"/>
            <rFont val="Century Gothic"/>
            <family val="2"/>
          </rPr>
          <t>Family &amp; Friends</t>
        </r>
        <r>
          <rPr>
            <sz val="9"/>
            <color theme="1"/>
            <rFont val="Century Gothic"/>
            <family val="2"/>
          </rPr>
          <t xml:space="preserve"> -  refers to  loans from family members, friends, neighbours e.t.c.</t>
        </r>
      </text>
    </comment>
    <comment ref="B41" authorId="0" shapeId="0" xr:uid="{00000000-0006-0000-0F00-00003E000000}">
      <text>
        <r>
          <rPr>
            <sz val="9"/>
            <color theme="1"/>
            <rFont val="Century Gothic"/>
            <family val="2"/>
          </rPr>
          <t>People owed.</t>
        </r>
      </text>
    </comment>
    <comment ref="C41" authorId="0" shapeId="0" xr:uid="{00000000-0006-0000-0F00-00003F000000}">
      <text>
        <r>
          <rPr>
            <sz val="9"/>
            <color theme="1"/>
            <rFont val="Century Gothic"/>
            <family val="2"/>
          </rPr>
          <t xml:space="preserve">This is the </t>
        </r>
        <r>
          <rPr>
            <b/>
            <i/>
            <sz val="9"/>
            <color theme="1"/>
            <rFont val="Century Gothic"/>
            <family val="2"/>
          </rPr>
          <t xml:space="preserve">Initial amount Owed </t>
        </r>
        <r>
          <rPr>
            <sz val="9"/>
            <color theme="1"/>
            <rFont val="Century Gothic"/>
            <family val="2"/>
          </rPr>
          <t>before interest is charged.</t>
        </r>
      </text>
    </comment>
    <comment ref="D41" authorId="0" shapeId="0" xr:uid="{00000000-0006-0000-0F00-000040000000}">
      <text>
        <r>
          <rPr>
            <sz val="9"/>
            <color theme="1"/>
            <rFont val="Century Gothic"/>
            <family val="2"/>
          </rPr>
          <t xml:space="preserve">The </t>
        </r>
        <r>
          <rPr>
            <b/>
            <sz val="9"/>
            <color theme="1"/>
            <rFont val="Century Gothic"/>
            <family val="2"/>
          </rPr>
          <t>Annual interest</t>
        </r>
        <r>
          <rPr>
            <sz val="9"/>
            <color theme="1"/>
            <rFont val="Century Gothic"/>
            <family val="2"/>
          </rPr>
          <t xml:space="preserve"> must be divided by 12 in order to workout the monthly interest charged for the calculation.
See example: 
10% annual interest must be typed in as: </t>
        </r>
        <r>
          <rPr>
            <b/>
            <i/>
            <sz val="9"/>
            <color indexed="9"/>
            <rFont val="Century Gothic"/>
            <family val="2"/>
          </rPr>
          <t>=10%/1 2</t>
        </r>
      </text>
    </comment>
    <comment ref="E41" authorId="0" shapeId="0" xr:uid="{00000000-0006-0000-0F00-000041000000}">
      <text>
        <r>
          <rPr>
            <sz val="9"/>
            <color theme="1"/>
            <rFont val="Century Gothic"/>
            <family val="2"/>
          </rPr>
          <t>Enter the amount of the</t>
        </r>
        <r>
          <rPr>
            <b/>
            <sz val="9"/>
            <color theme="1"/>
            <rFont val="Century Gothic"/>
            <family val="2"/>
          </rPr>
          <t xml:space="preserve"> Annual interest</t>
        </r>
        <r>
          <rPr>
            <sz val="9"/>
            <color theme="1"/>
            <rFont val="Century Gothic"/>
            <family val="2"/>
          </rPr>
          <t xml:space="preserve"> charged here.</t>
        </r>
      </text>
    </comment>
    <comment ref="F41" authorId="0" shapeId="0" xr:uid="{00000000-0006-0000-0F00-000042000000}">
      <text>
        <r>
          <rPr>
            <sz val="9"/>
            <color theme="1"/>
            <rFont val="Century Gothic"/>
            <family val="2"/>
          </rPr>
          <t xml:space="preserve">This is the Payment Term in months. i.e. 
</t>
        </r>
        <r>
          <rPr>
            <b/>
            <i/>
            <sz val="9"/>
            <color indexed="9"/>
            <rFont val="Century Gothic"/>
            <family val="2"/>
          </rPr>
          <t>1 year</t>
        </r>
        <r>
          <rPr>
            <sz val="9"/>
            <color theme="1"/>
            <rFont val="Century Gothic"/>
            <family val="2"/>
          </rPr>
          <t xml:space="preserve"> is equal to </t>
        </r>
        <r>
          <rPr>
            <b/>
            <sz val="9"/>
            <color indexed="9"/>
            <rFont val="Century Gothic"/>
            <family val="2"/>
          </rPr>
          <t>12 months</t>
        </r>
        <r>
          <rPr>
            <sz val="9"/>
            <color theme="1"/>
            <rFont val="Century Gothic"/>
            <family val="2"/>
          </rPr>
          <t xml:space="preserve">.
</t>
        </r>
      </text>
    </comment>
    <comment ref="G41" authorId="0" shapeId="0" xr:uid="{00000000-0006-0000-0F00-000043000000}">
      <text>
        <r>
          <rPr>
            <b/>
            <i/>
            <sz val="9"/>
            <color theme="1"/>
            <rFont val="Century Gothic"/>
            <family val="2"/>
          </rPr>
          <t>Minimum Installments</t>
        </r>
        <r>
          <rPr>
            <sz val="9"/>
            <color theme="1"/>
            <rFont val="Century Gothic"/>
            <family val="2"/>
          </rPr>
          <t xml:space="preserve"> are automatically calculated. The cell is protected and will not be editable.
</t>
        </r>
      </text>
    </comment>
    <comment ref="H41" authorId="0" shapeId="0" xr:uid="{00000000-0006-0000-0F00-000044000000}">
      <text>
        <r>
          <rPr>
            <sz val="9"/>
            <color theme="1"/>
            <rFont val="Century Gothic"/>
            <family val="2"/>
          </rPr>
          <t xml:space="preserve">Enter your January monthly installment here.
</t>
        </r>
      </text>
    </comment>
    <comment ref="I41" authorId="0" shapeId="0" xr:uid="{00000000-0006-0000-0F00-000045000000}">
      <text>
        <r>
          <rPr>
            <sz val="9"/>
            <color theme="1"/>
            <rFont val="Century Gothic"/>
            <family val="2"/>
          </rPr>
          <t>Enter your February monthly installment here.</t>
        </r>
      </text>
    </comment>
    <comment ref="J41" authorId="0" shapeId="0" xr:uid="{00000000-0006-0000-0F00-000046000000}">
      <text>
        <r>
          <rPr>
            <sz val="9"/>
            <color theme="1"/>
            <rFont val="Century Gothic"/>
            <family val="2"/>
          </rPr>
          <t>Enter your March monthly installment here.</t>
        </r>
      </text>
    </comment>
    <comment ref="K41" authorId="0" shapeId="0" xr:uid="{00000000-0006-0000-0F00-000047000000}">
      <text>
        <r>
          <rPr>
            <sz val="9"/>
            <color theme="1"/>
            <rFont val="Century Gothic"/>
            <family val="2"/>
          </rPr>
          <t>Enter your April monthly installment here.</t>
        </r>
      </text>
    </comment>
    <comment ref="L41" authorId="0" shapeId="0" xr:uid="{00000000-0006-0000-0F00-000048000000}">
      <text>
        <r>
          <rPr>
            <sz val="9"/>
            <color theme="1"/>
            <rFont val="Century Gothic"/>
            <family val="2"/>
          </rPr>
          <t>Enter your May monthly installment here.</t>
        </r>
      </text>
    </comment>
    <comment ref="M41" authorId="0" shapeId="0" xr:uid="{00000000-0006-0000-0F00-000049000000}">
      <text>
        <r>
          <rPr>
            <sz val="9"/>
            <color theme="1"/>
            <rFont val="Century Gothic"/>
            <family val="2"/>
          </rPr>
          <t>Enter your June monthly installment here.</t>
        </r>
      </text>
    </comment>
    <comment ref="N41" authorId="0" shapeId="0" xr:uid="{00000000-0006-0000-0F00-00004A000000}">
      <text>
        <r>
          <rPr>
            <sz val="9"/>
            <color theme="1"/>
            <rFont val="Century Gothic"/>
            <family val="2"/>
          </rPr>
          <t>Enter your July monthly installment here.</t>
        </r>
      </text>
    </comment>
    <comment ref="O41" authorId="0" shapeId="0" xr:uid="{00000000-0006-0000-0F00-00004B000000}">
      <text>
        <r>
          <rPr>
            <sz val="9"/>
            <color theme="1"/>
            <rFont val="Century Gothic"/>
            <family val="2"/>
          </rPr>
          <t>Enter your August monthly installment here.</t>
        </r>
      </text>
    </comment>
    <comment ref="P41" authorId="0" shapeId="0" xr:uid="{00000000-0006-0000-0F00-00004C000000}">
      <text>
        <r>
          <rPr>
            <sz val="9"/>
            <color theme="1"/>
            <rFont val="Century Gothic"/>
            <family val="2"/>
          </rPr>
          <t>Enter your September monthly installment here.</t>
        </r>
      </text>
    </comment>
    <comment ref="Q41" authorId="0" shapeId="0" xr:uid="{00000000-0006-0000-0F00-00004D000000}">
      <text>
        <r>
          <rPr>
            <sz val="9"/>
            <color theme="1"/>
            <rFont val="Century Gothic"/>
            <family val="2"/>
          </rPr>
          <t>Enter your October monthly installment here.</t>
        </r>
      </text>
    </comment>
    <comment ref="R41" authorId="0" shapeId="0" xr:uid="{00000000-0006-0000-0F00-00004E000000}">
      <text>
        <r>
          <rPr>
            <sz val="9"/>
            <color theme="1"/>
            <rFont val="Century Gothic"/>
            <family val="2"/>
          </rPr>
          <t>Enter your November monthly installment here.</t>
        </r>
      </text>
    </comment>
    <comment ref="S41" authorId="0" shapeId="0" xr:uid="{00000000-0006-0000-0F00-00004F000000}">
      <text>
        <r>
          <rPr>
            <sz val="9"/>
            <color theme="1"/>
            <rFont val="Century Gothic"/>
            <family val="2"/>
          </rPr>
          <t>Enter your December monthly installment here.</t>
        </r>
      </text>
    </comment>
    <comment ref="T41" authorId="0" shapeId="0" xr:uid="{00000000-0006-0000-0F00-000050000000}">
      <text>
        <r>
          <rPr>
            <b/>
            <sz val="9"/>
            <color indexed="9"/>
            <rFont val="Century Gothic"/>
            <family val="2"/>
          </rPr>
          <t>% to Goal</t>
        </r>
        <r>
          <rPr>
            <sz val="9"/>
            <color theme="1"/>
            <rFont val="Century Gothic"/>
            <family val="2"/>
          </rPr>
          <t xml:space="preserve"> indicates how far you are from paying off the debt.</t>
        </r>
      </text>
    </comment>
    <comment ref="U41" authorId="0" shapeId="0" xr:uid="{00000000-0006-0000-0F00-000051000000}">
      <text>
        <r>
          <rPr>
            <b/>
            <sz val="9"/>
            <color indexed="9"/>
            <rFont val="Century Gothic"/>
            <family val="2"/>
          </rPr>
          <t>Annual payments</t>
        </r>
        <r>
          <rPr>
            <sz val="9"/>
            <color theme="1"/>
            <rFont val="Century Gothic"/>
            <family val="2"/>
          </rPr>
          <t xml:space="preserve"> represents the monthly repayments (including interest charged).</t>
        </r>
      </text>
    </comment>
    <comment ref="V41" authorId="0" shapeId="0" xr:uid="{00000000-0006-0000-0F00-000052000000}">
      <text>
        <r>
          <rPr>
            <b/>
            <sz val="9"/>
            <color theme="1"/>
            <rFont val="Century Gothic"/>
            <family val="2"/>
          </rPr>
          <t>Total Amount to be paid</t>
        </r>
        <r>
          <rPr>
            <sz val="9"/>
            <color theme="1"/>
            <rFont val="Century Gothic"/>
            <family val="2"/>
          </rPr>
          <t xml:space="preserve"> represents all the amounts still outstanding.</t>
        </r>
      </text>
    </comment>
    <comment ref="W41" authorId="0" shapeId="0" xr:uid="{00000000-0006-0000-0F00-000053000000}">
      <text>
        <r>
          <rPr>
            <b/>
            <sz val="9"/>
            <color indexed="9"/>
            <rFont val="Century Gothic"/>
            <family val="2"/>
          </rPr>
          <t>TOTAL COST OF CREDIT</t>
        </r>
        <r>
          <rPr>
            <sz val="9"/>
            <color indexed="81"/>
            <rFont val="Century Gothic"/>
            <family val="2"/>
          </rPr>
          <t xml:space="preserve"> - represents the Initial amount Owed plus interest charged.</t>
        </r>
      </text>
    </comment>
    <comment ref="X41" authorId="0" shapeId="0" xr:uid="{00000000-0006-0000-0F00-000054000000}">
      <text>
        <r>
          <rPr>
            <b/>
            <sz val="9"/>
            <color indexed="9"/>
            <rFont val="Century Gothic"/>
            <family val="2"/>
          </rPr>
          <t>TOTAL AMOUNT PAID</t>
        </r>
        <r>
          <rPr>
            <sz val="9"/>
            <color theme="1"/>
            <rFont val="Century Gothic"/>
            <family val="2"/>
          </rPr>
          <t xml:space="preserve"> represents the accumulative monthly payments.</t>
        </r>
      </text>
    </comment>
    <comment ref="Y45" authorId="0" shapeId="0" xr:uid="{00000000-0006-0000-0F00-000055000000}">
      <text>
        <r>
          <rPr>
            <b/>
            <sz val="9"/>
            <color indexed="9"/>
            <rFont val="Century Gothic"/>
            <family val="2"/>
          </rPr>
          <t>Balance</t>
        </r>
        <r>
          <rPr>
            <sz val="9"/>
            <color indexed="9"/>
            <rFont val="Century Gothic"/>
            <family val="2"/>
          </rPr>
          <t xml:space="preserve"> </t>
        </r>
        <r>
          <rPr>
            <sz val="9"/>
            <color indexed="81"/>
            <rFont val="Century Gothic"/>
            <family val="2"/>
          </rPr>
          <t>- represents the outstanding amount, i.e. the difference between TOTAL COST OF CREDITS minus accumulative monthly Installments.</t>
        </r>
      </text>
    </comment>
    <comment ref="T47" authorId="0" shapeId="0" xr:uid="{00000000-0006-0000-0F00-000056000000}">
      <text>
        <r>
          <rPr>
            <sz val="9"/>
            <color theme="1"/>
            <rFont val="Century Gothic"/>
            <family val="2"/>
          </rPr>
          <t>This indicates the average % payed for all Friends &amp; Family debt.</t>
        </r>
      </text>
    </comment>
    <comment ref="U47" authorId="0" shapeId="0" xr:uid="{00000000-0006-0000-0F00-000057000000}">
      <text>
        <r>
          <rPr>
            <sz val="9"/>
            <color theme="1"/>
            <rFont val="Century Gothic"/>
            <family val="2"/>
          </rPr>
          <t>Total of Annual Payments for Friends &amp; Family debt.</t>
        </r>
      </text>
    </comment>
    <comment ref="V47" authorId="0" shapeId="0" xr:uid="{00000000-0006-0000-0F00-000058000000}">
      <text>
        <r>
          <rPr>
            <sz val="9"/>
            <color theme="1"/>
            <rFont val="Century Gothic"/>
            <family val="2"/>
          </rPr>
          <t>Total of all monthly installments paid.</t>
        </r>
      </text>
    </comment>
    <comment ref="W47" authorId="0" shapeId="0" xr:uid="{00000000-0006-0000-0F00-000059000000}">
      <text>
        <r>
          <rPr>
            <sz val="9"/>
            <color theme="1"/>
            <rFont val="Century Gothic"/>
            <family val="2"/>
          </rPr>
          <t>Sum Total of all debt from Family &amp; Friends.</t>
        </r>
      </text>
    </comment>
    <comment ref="X47" authorId="0" shapeId="0" xr:uid="{00000000-0006-0000-0F00-00005A000000}">
      <text>
        <r>
          <rPr>
            <sz val="9"/>
            <color theme="1"/>
            <rFont val="Century Gothic"/>
            <family val="2"/>
          </rPr>
          <t>Sum Total of all debt paid to family &amp; Friends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B22" authorId="0" shapeId="0" xr:uid="{00000000-0006-0000-1000-000001000000}">
      <text>
        <r>
          <rPr>
            <b/>
            <sz val="9"/>
            <color indexed="9"/>
            <rFont val="Century Gothic"/>
            <family val="2"/>
          </rPr>
          <t>Goal Description</t>
        </r>
        <r>
          <rPr>
            <sz val="9"/>
            <color indexed="81"/>
            <rFont val="Century Gothic"/>
            <family val="2"/>
          </rPr>
          <t>-  refers to financial goal you are saving towards. E.g. trip to Durban, Cellphone e.t.c.</t>
        </r>
      </text>
    </comment>
    <comment ref="C22" authorId="0" shapeId="0" xr:uid="{00000000-0006-0000-1000-000002000000}">
      <text>
        <r>
          <rPr>
            <sz val="9"/>
            <color indexed="81"/>
            <rFont val="Century Gothic"/>
            <family val="2"/>
          </rPr>
          <t xml:space="preserve">This is the </t>
        </r>
        <r>
          <rPr>
            <b/>
            <i/>
            <sz val="9"/>
            <color indexed="81"/>
            <rFont val="Century Gothic"/>
            <family val="2"/>
          </rPr>
          <t>Initial amount of the goal</t>
        </r>
        <r>
          <rPr>
            <sz val="9"/>
            <color indexed="81"/>
            <rFont val="Century Gothic"/>
            <family val="2"/>
          </rPr>
          <t xml:space="preserve"> before interest is earned.</t>
        </r>
      </text>
    </comment>
    <comment ref="D22" authorId="0" shapeId="0" xr:uid="{00000000-0006-0000-1000-000003000000}">
      <text>
        <r>
          <rPr>
            <sz val="9"/>
            <color indexed="81"/>
            <rFont val="Century Gothic"/>
            <family val="2"/>
          </rPr>
          <t xml:space="preserve">This is the </t>
        </r>
        <r>
          <rPr>
            <b/>
            <sz val="9"/>
            <color indexed="81"/>
            <rFont val="Century Gothic"/>
            <family val="2"/>
          </rPr>
          <t>Saving Term in months</t>
        </r>
        <r>
          <rPr>
            <sz val="9"/>
            <color indexed="81"/>
            <rFont val="Century Gothic"/>
            <family val="2"/>
          </rPr>
          <t xml:space="preserve">. i.e. 
</t>
        </r>
        <r>
          <rPr>
            <b/>
            <i/>
            <sz val="9"/>
            <color indexed="9"/>
            <rFont val="Century Gothic"/>
            <family val="2"/>
          </rPr>
          <t>1 year</t>
        </r>
        <r>
          <rPr>
            <sz val="9"/>
            <color indexed="9"/>
            <rFont val="Century Gothic"/>
            <family val="2"/>
          </rPr>
          <t xml:space="preserve"> </t>
        </r>
        <r>
          <rPr>
            <sz val="9"/>
            <color indexed="81"/>
            <rFont val="Century Gothic"/>
            <family val="2"/>
          </rPr>
          <t xml:space="preserve">is equal to </t>
        </r>
        <r>
          <rPr>
            <b/>
            <i/>
            <sz val="9"/>
            <color indexed="9"/>
            <rFont val="Century Gothic"/>
            <family val="2"/>
          </rPr>
          <t>12 months</t>
        </r>
        <r>
          <rPr>
            <b/>
            <i/>
            <sz val="9"/>
            <color indexed="81"/>
            <rFont val="Century Gothic"/>
            <family val="2"/>
          </rPr>
          <t>.</t>
        </r>
      </text>
    </comment>
    <comment ref="E22" authorId="0" shapeId="0" xr:uid="{00000000-0006-0000-1000-000004000000}">
      <text>
        <r>
          <rPr>
            <b/>
            <i/>
            <sz val="9"/>
            <color indexed="81"/>
            <rFont val="Century Gothic"/>
            <family val="2"/>
          </rPr>
          <t>Minimum Savings</t>
        </r>
        <r>
          <rPr>
            <sz val="9"/>
            <color indexed="81"/>
            <rFont val="Century Gothic"/>
            <family val="2"/>
          </rPr>
          <t>are automatically calculated. The cell is protected and will not be editable.</t>
        </r>
        <r>
          <rPr>
            <sz val="9"/>
            <color indexed="81"/>
            <rFont val="Tahoma"/>
            <family val="2"/>
          </rPr>
          <t xml:space="preserve">
</t>
        </r>
      </text>
    </comment>
    <comment ref="F22" authorId="0" shapeId="0" xr:uid="{00000000-0006-0000-1000-000005000000}">
      <text>
        <r>
          <rPr>
            <sz val="9"/>
            <color theme="1"/>
            <rFont val="Century Gothic"/>
            <family val="2"/>
          </rPr>
          <t xml:space="preserve">The </t>
        </r>
        <r>
          <rPr>
            <b/>
            <i/>
            <sz val="9"/>
            <color theme="1"/>
            <rFont val="Century Gothic"/>
            <family val="2"/>
          </rPr>
          <t>monthly interest</t>
        </r>
        <r>
          <rPr>
            <sz val="9"/>
            <color theme="1"/>
            <rFont val="Century Gothic"/>
            <family val="2"/>
          </rPr>
          <t xml:space="preserve"> is calculated as </t>
        </r>
        <r>
          <rPr>
            <b/>
            <sz val="9"/>
            <color theme="1"/>
            <rFont val="Century Gothic"/>
            <family val="2"/>
          </rPr>
          <t>Annual interest</t>
        </r>
        <r>
          <rPr>
            <sz val="9"/>
            <color theme="1"/>
            <rFont val="Century Gothic"/>
            <family val="2"/>
          </rPr>
          <t xml:space="preserve"> divided by 12 
See example: 
10% annual interest must be typed in as: </t>
        </r>
        <r>
          <rPr>
            <b/>
            <i/>
            <sz val="9"/>
            <color indexed="9"/>
            <rFont val="Century Gothic"/>
            <family val="2"/>
          </rPr>
          <t xml:space="preserve">=10%/1 2
</t>
        </r>
        <r>
          <rPr>
            <i/>
            <sz val="9"/>
            <color indexed="81"/>
            <rFont val="Century Gothic"/>
            <family val="2"/>
          </rPr>
          <t>The cell is protected and will not be editable.</t>
        </r>
        <r>
          <rPr>
            <b/>
            <i/>
            <sz val="9"/>
            <color indexed="9"/>
            <rFont val="Century Gothic"/>
            <family val="2"/>
          </rPr>
          <t xml:space="preserve">
</t>
        </r>
      </text>
    </comment>
    <comment ref="G22" authorId="0" shapeId="0" xr:uid="{00000000-0006-0000-1000-000006000000}">
      <text>
        <r>
          <rPr>
            <sz val="9"/>
            <color theme="1"/>
            <rFont val="Century Gothic"/>
            <family val="2"/>
          </rPr>
          <t>Enter the amount of the</t>
        </r>
        <r>
          <rPr>
            <b/>
            <sz val="9"/>
            <color theme="1"/>
            <rFont val="Century Gothic"/>
            <family val="2"/>
          </rPr>
          <t xml:space="preserve"> Annual interest</t>
        </r>
        <r>
          <rPr>
            <sz val="9"/>
            <color theme="1"/>
            <rFont val="Century Gothic"/>
            <family val="2"/>
          </rPr>
          <t xml:space="preserve"> earned here.</t>
        </r>
      </text>
    </comment>
    <comment ref="H22" authorId="0" shapeId="0" xr:uid="{00000000-0006-0000-1000-000007000000}">
      <text>
        <r>
          <rPr>
            <sz val="9"/>
            <color theme="1"/>
            <rFont val="Century Gothic"/>
            <family val="2"/>
          </rPr>
          <t xml:space="preserve">Enter your January monthly savings here.
</t>
        </r>
      </text>
    </comment>
    <comment ref="I22" authorId="0" shapeId="0" xr:uid="{00000000-0006-0000-1000-000008000000}">
      <text>
        <r>
          <rPr>
            <sz val="9"/>
            <color theme="1"/>
            <rFont val="Century Gothic"/>
            <family val="2"/>
          </rPr>
          <t xml:space="preserve">Enter your February monthly savings here.
</t>
        </r>
      </text>
    </comment>
    <comment ref="J22" authorId="0" shapeId="0" xr:uid="{00000000-0006-0000-1000-000009000000}">
      <text>
        <r>
          <rPr>
            <sz val="9"/>
            <color theme="1"/>
            <rFont val="Century Gothic"/>
            <family val="2"/>
          </rPr>
          <t xml:space="preserve">Enter your March monthly savings here.
</t>
        </r>
      </text>
    </comment>
    <comment ref="K22" authorId="0" shapeId="0" xr:uid="{00000000-0006-0000-1000-00000A000000}">
      <text>
        <r>
          <rPr>
            <sz val="9"/>
            <color theme="1"/>
            <rFont val="Century Gothic"/>
            <family val="2"/>
          </rPr>
          <t xml:space="preserve">Enter your April monthly savings here.
</t>
        </r>
      </text>
    </comment>
    <comment ref="L22" authorId="0" shapeId="0" xr:uid="{00000000-0006-0000-1000-00000B000000}">
      <text>
        <r>
          <rPr>
            <sz val="9"/>
            <color theme="1"/>
            <rFont val="Century Gothic"/>
            <family val="2"/>
          </rPr>
          <t xml:space="preserve">Enter your May monthly savings here.
</t>
        </r>
      </text>
    </comment>
    <comment ref="M22" authorId="0" shapeId="0" xr:uid="{00000000-0006-0000-1000-00000C000000}">
      <text>
        <r>
          <rPr>
            <sz val="9"/>
            <color theme="1"/>
            <rFont val="Century Gothic"/>
            <family val="2"/>
          </rPr>
          <t xml:space="preserve">Enter your June monthly savings here.
</t>
        </r>
      </text>
    </comment>
    <comment ref="N22" authorId="0" shapeId="0" xr:uid="{00000000-0006-0000-1000-00000D000000}">
      <text>
        <r>
          <rPr>
            <sz val="9"/>
            <color theme="1"/>
            <rFont val="Century Gothic"/>
            <family val="2"/>
          </rPr>
          <t xml:space="preserve">Enter your July monthly savings here.
</t>
        </r>
      </text>
    </comment>
    <comment ref="O22" authorId="0" shapeId="0" xr:uid="{00000000-0006-0000-1000-00000E000000}">
      <text>
        <r>
          <rPr>
            <sz val="9"/>
            <color theme="1"/>
            <rFont val="Century Gothic"/>
            <family val="2"/>
          </rPr>
          <t xml:space="preserve">Enter your August monthly savings here.
</t>
        </r>
      </text>
    </comment>
    <comment ref="P22" authorId="0" shapeId="0" xr:uid="{00000000-0006-0000-1000-00000F000000}">
      <text>
        <r>
          <rPr>
            <sz val="9"/>
            <color theme="1"/>
            <rFont val="Century Gothic"/>
            <family val="2"/>
          </rPr>
          <t xml:space="preserve">Enter your September monthly savings here.
</t>
        </r>
      </text>
    </comment>
    <comment ref="Q22" authorId="0" shapeId="0" xr:uid="{00000000-0006-0000-1000-000010000000}">
      <text>
        <r>
          <rPr>
            <sz val="9"/>
            <color theme="1"/>
            <rFont val="Century Gothic"/>
            <family val="2"/>
          </rPr>
          <t xml:space="preserve">Enter your October monthly savings here.
</t>
        </r>
      </text>
    </comment>
    <comment ref="R22" authorId="0" shapeId="0" xr:uid="{00000000-0006-0000-1000-000011000000}">
      <text>
        <r>
          <rPr>
            <sz val="9"/>
            <color theme="1"/>
            <rFont val="Century Gothic"/>
            <family val="2"/>
          </rPr>
          <t xml:space="preserve">Enter your November monthly savings here.
</t>
        </r>
      </text>
    </comment>
    <comment ref="S22" authorId="0" shapeId="0" xr:uid="{00000000-0006-0000-1000-000012000000}">
      <text>
        <r>
          <rPr>
            <sz val="9"/>
            <color theme="1"/>
            <rFont val="Century Gothic"/>
            <family val="2"/>
          </rPr>
          <t xml:space="preserve">Enter your December monthly savings here.
</t>
        </r>
      </text>
    </comment>
    <comment ref="T22" authorId="0" shapeId="0" xr:uid="{00000000-0006-0000-1000-000013000000}">
      <text>
        <r>
          <rPr>
            <b/>
            <sz val="9"/>
            <color indexed="9"/>
            <rFont val="Century Gothic"/>
            <family val="2"/>
          </rPr>
          <t xml:space="preserve">% to Goal </t>
        </r>
        <r>
          <rPr>
            <sz val="9"/>
            <color indexed="81"/>
            <rFont val="Century Gothic"/>
            <family val="2"/>
          </rPr>
          <t>indicates how far you are from saving towards a goal.</t>
        </r>
      </text>
    </comment>
    <comment ref="U22" authorId="0" shapeId="0" xr:uid="{00000000-0006-0000-1000-000014000000}">
      <text>
        <r>
          <rPr>
            <b/>
            <sz val="9"/>
            <color indexed="9"/>
            <rFont val="Century Gothic"/>
            <family val="2"/>
          </rPr>
          <t xml:space="preserve">Annual savings </t>
        </r>
        <r>
          <rPr>
            <sz val="9"/>
            <color theme="1"/>
            <rFont val="Century Gothic"/>
            <family val="2"/>
          </rPr>
          <t>represents the monthly repayments (including interest charged).</t>
        </r>
      </text>
    </comment>
    <comment ref="V22" authorId="0" shapeId="0" xr:uid="{00000000-0006-0000-1000-000015000000}">
      <text>
        <r>
          <rPr>
            <b/>
            <sz val="9"/>
            <color theme="1"/>
            <rFont val="Century Gothic"/>
            <family val="2"/>
          </rPr>
          <t xml:space="preserve">Total Savings  to be made </t>
        </r>
        <r>
          <rPr>
            <sz val="9"/>
            <color theme="1"/>
            <rFont val="Century Gothic"/>
            <family val="2"/>
          </rPr>
          <t>represents all the amounts still to contribute to reach the financial goal.</t>
        </r>
      </text>
    </comment>
    <comment ref="W22" authorId="0" shapeId="0" xr:uid="{00000000-0006-0000-1000-000016000000}">
      <text>
        <r>
          <rPr>
            <b/>
            <sz val="9"/>
            <color indexed="9"/>
            <rFont val="Century Gothic"/>
            <family val="2"/>
          </rPr>
          <t>TOTAL VALUE OF SAVINGS</t>
        </r>
        <r>
          <rPr>
            <sz val="9"/>
            <color indexed="81"/>
            <rFont val="Century Gothic"/>
            <family val="2"/>
          </rPr>
          <t xml:space="preserve"> - represents the Initial amount saved plus interest charged multipled by the savings term.</t>
        </r>
      </text>
    </comment>
    <comment ref="X22" authorId="0" shapeId="0" xr:uid="{00000000-0006-0000-1000-000017000000}">
      <text>
        <r>
          <rPr>
            <b/>
            <sz val="9"/>
            <color indexed="9"/>
            <rFont val="Century Gothic"/>
            <family val="2"/>
          </rPr>
          <t xml:space="preserve">TOTAL AMOUNT SAVED </t>
        </r>
        <r>
          <rPr>
            <sz val="9"/>
            <color theme="1"/>
            <rFont val="Century Gothic"/>
            <family val="2"/>
          </rPr>
          <t>represents the accumulative monthly savings.</t>
        </r>
      </text>
    </comment>
    <comment ref="T27" authorId="0" shapeId="0" xr:uid="{00000000-0006-0000-1000-000018000000}">
      <text>
        <r>
          <rPr>
            <sz val="9"/>
            <color theme="1"/>
            <rFont val="Century Gothic"/>
            <family val="2"/>
          </rPr>
          <t>This indicates the average % saved towards all financial goals.</t>
        </r>
      </text>
    </comment>
    <comment ref="U27" authorId="0" shapeId="0" xr:uid="{00000000-0006-0000-1000-000019000000}">
      <text>
        <r>
          <rPr>
            <sz val="9"/>
            <color theme="1"/>
            <rFont val="Century Gothic"/>
            <family val="2"/>
          </rPr>
          <t>Total of Annual Savings Towards Financial Goal.</t>
        </r>
      </text>
    </comment>
    <comment ref="V27" authorId="0" shapeId="0" xr:uid="{00000000-0006-0000-1000-00001A000000}">
      <text>
        <r>
          <rPr>
            <sz val="9"/>
            <color theme="1"/>
            <rFont val="Century Gothic"/>
            <family val="2"/>
          </rPr>
          <t>Total of all monthly savings made.</t>
        </r>
      </text>
    </comment>
    <comment ref="W27" authorId="0" shapeId="0" xr:uid="{00000000-0006-0000-1000-00001B000000}">
      <text>
        <r>
          <rPr>
            <sz val="9"/>
            <color theme="1"/>
            <rFont val="Century Gothic"/>
            <family val="2"/>
          </rPr>
          <t>Sum Total of all savings towards financial goals.</t>
        </r>
      </text>
    </comment>
    <comment ref="X27" authorId="0" shapeId="0" xr:uid="{00000000-0006-0000-1000-00001C000000}">
      <text>
        <r>
          <rPr>
            <sz val="9"/>
            <color theme="1"/>
            <rFont val="Century Gothic"/>
            <family val="2"/>
          </rPr>
          <t>Sum Total of all savings made towards financial goals.</t>
        </r>
      </text>
    </comment>
    <comment ref="B32" authorId="0" shapeId="0" xr:uid="{00000000-0006-0000-1000-00001D000000}">
      <text>
        <r>
          <rPr>
            <b/>
            <sz val="9"/>
            <color indexed="9"/>
            <rFont val="Century Gothic"/>
            <family val="2"/>
          </rPr>
          <t>Savings &amp; Investments Description</t>
        </r>
        <r>
          <rPr>
            <sz val="9"/>
            <color indexed="81"/>
            <rFont val="Century Gothic"/>
            <family val="2"/>
          </rPr>
          <t>-  refers to vehicle of savings or investments you are saving in. E.g. Stokvel, Unit Trust, 32-day notice, money market, e.t.c.</t>
        </r>
      </text>
    </comment>
    <comment ref="C32" authorId="0" shapeId="0" xr:uid="{00000000-0006-0000-1000-00001E000000}">
      <text>
        <r>
          <rPr>
            <sz val="9"/>
            <color indexed="81"/>
            <rFont val="Century Gothic"/>
            <family val="2"/>
          </rPr>
          <t xml:space="preserve">This is the </t>
        </r>
        <r>
          <rPr>
            <b/>
            <i/>
            <sz val="9"/>
            <color indexed="81"/>
            <rFont val="Century Gothic"/>
            <family val="2"/>
          </rPr>
          <t xml:space="preserve">Initial amount </t>
        </r>
        <r>
          <rPr>
            <sz val="9"/>
            <color indexed="81"/>
            <rFont val="Century Gothic"/>
            <family val="2"/>
          </rPr>
          <t xml:space="preserve"> before interest is earned.</t>
        </r>
      </text>
    </comment>
    <comment ref="D32" authorId="0" shapeId="0" xr:uid="{00000000-0006-0000-1000-00001F000000}">
      <text>
        <r>
          <rPr>
            <sz val="9"/>
            <color indexed="81"/>
            <rFont val="Century Gothic"/>
            <family val="2"/>
          </rPr>
          <t xml:space="preserve">This is the </t>
        </r>
        <r>
          <rPr>
            <b/>
            <sz val="9"/>
            <color indexed="81"/>
            <rFont val="Century Gothic"/>
            <family val="2"/>
          </rPr>
          <t>Saving Term in months</t>
        </r>
        <r>
          <rPr>
            <sz val="9"/>
            <color indexed="81"/>
            <rFont val="Century Gothic"/>
            <family val="2"/>
          </rPr>
          <t xml:space="preserve">. i.e. 
</t>
        </r>
        <r>
          <rPr>
            <b/>
            <i/>
            <sz val="9"/>
            <color indexed="9"/>
            <rFont val="Century Gothic"/>
            <family val="2"/>
          </rPr>
          <t>1 year</t>
        </r>
        <r>
          <rPr>
            <sz val="9"/>
            <color indexed="9"/>
            <rFont val="Century Gothic"/>
            <family val="2"/>
          </rPr>
          <t xml:space="preserve"> </t>
        </r>
        <r>
          <rPr>
            <sz val="9"/>
            <color indexed="81"/>
            <rFont val="Century Gothic"/>
            <family val="2"/>
          </rPr>
          <t xml:space="preserve">is equal to </t>
        </r>
        <r>
          <rPr>
            <b/>
            <i/>
            <sz val="9"/>
            <color indexed="9"/>
            <rFont val="Century Gothic"/>
            <family val="2"/>
          </rPr>
          <t>12 months</t>
        </r>
        <r>
          <rPr>
            <b/>
            <i/>
            <sz val="9"/>
            <color indexed="81"/>
            <rFont val="Century Gothic"/>
            <family val="2"/>
          </rPr>
          <t>.</t>
        </r>
      </text>
    </comment>
    <comment ref="E32" authorId="0" shapeId="0" xr:uid="{00000000-0006-0000-1000-000020000000}">
      <text>
        <r>
          <rPr>
            <b/>
            <i/>
            <sz val="9"/>
            <color indexed="81"/>
            <rFont val="Century Gothic"/>
            <family val="2"/>
          </rPr>
          <t>Minimum Savings</t>
        </r>
        <r>
          <rPr>
            <sz val="9"/>
            <color indexed="81"/>
            <rFont val="Century Gothic"/>
            <family val="2"/>
          </rPr>
          <t>are automatically calculated. The cell is protected and will not be editable.</t>
        </r>
        <r>
          <rPr>
            <sz val="9"/>
            <color indexed="81"/>
            <rFont val="Tahoma"/>
            <family val="2"/>
          </rPr>
          <t xml:space="preserve">
</t>
        </r>
      </text>
    </comment>
    <comment ref="F32" authorId="0" shapeId="0" xr:uid="{00000000-0006-0000-1000-000021000000}">
      <text>
        <r>
          <rPr>
            <sz val="9"/>
            <color theme="1"/>
            <rFont val="Century Gothic"/>
            <family val="2"/>
          </rPr>
          <t xml:space="preserve">The </t>
        </r>
        <r>
          <rPr>
            <b/>
            <i/>
            <sz val="9"/>
            <color theme="1"/>
            <rFont val="Century Gothic"/>
            <family val="2"/>
          </rPr>
          <t>monthly interest</t>
        </r>
        <r>
          <rPr>
            <sz val="9"/>
            <color theme="1"/>
            <rFont val="Century Gothic"/>
            <family val="2"/>
          </rPr>
          <t xml:space="preserve"> is calculated as </t>
        </r>
        <r>
          <rPr>
            <b/>
            <sz val="9"/>
            <color theme="1"/>
            <rFont val="Century Gothic"/>
            <family val="2"/>
          </rPr>
          <t>Annual interest</t>
        </r>
        <r>
          <rPr>
            <sz val="9"/>
            <color theme="1"/>
            <rFont val="Century Gothic"/>
            <family val="2"/>
          </rPr>
          <t xml:space="preserve"> divided by 12 
See example: 
10% annual interest must be typed in as: </t>
        </r>
        <r>
          <rPr>
            <b/>
            <i/>
            <sz val="9"/>
            <color indexed="9"/>
            <rFont val="Century Gothic"/>
            <family val="2"/>
          </rPr>
          <t xml:space="preserve">=10%/1 2
</t>
        </r>
        <r>
          <rPr>
            <i/>
            <sz val="9"/>
            <color indexed="81"/>
            <rFont val="Century Gothic"/>
            <family val="2"/>
          </rPr>
          <t>The cell is protected and will not be editable.</t>
        </r>
        <r>
          <rPr>
            <b/>
            <i/>
            <sz val="9"/>
            <color indexed="9"/>
            <rFont val="Century Gothic"/>
            <family val="2"/>
          </rPr>
          <t xml:space="preserve">
</t>
        </r>
      </text>
    </comment>
    <comment ref="G32" authorId="0" shapeId="0" xr:uid="{00000000-0006-0000-1000-000022000000}">
      <text>
        <r>
          <rPr>
            <sz val="9"/>
            <color theme="1"/>
            <rFont val="Century Gothic"/>
            <family val="2"/>
          </rPr>
          <t>Enter the amount of the</t>
        </r>
        <r>
          <rPr>
            <b/>
            <sz val="9"/>
            <color theme="1"/>
            <rFont val="Century Gothic"/>
            <family val="2"/>
          </rPr>
          <t xml:space="preserve"> Annual interest</t>
        </r>
        <r>
          <rPr>
            <sz val="9"/>
            <color theme="1"/>
            <rFont val="Century Gothic"/>
            <family val="2"/>
          </rPr>
          <t xml:space="preserve"> earned here.</t>
        </r>
      </text>
    </comment>
    <comment ref="H32" authorId="0" shapeId="0" xr:uid="{00000000-0006-0000-1000-000023000000}">
      <text>
        <r>
          <rPr>
            <sz val="9"/>
            <color theme="1"/>
            <rFont val="Century Gothic"/>
            <family val="2"/>
          </rPr>
          <t xml:space="preserve">Enter your January monthly savings here.
</t>
        </r>
      </text>
    </comment>
    <comment ref="I32" authorId="0" shapeId="0" xr:uid="{00000000-0006-0000-1000-000024000000}">
      <text>
        <r>
          <rPr>
            <sz val="9"/>
            <color theme="1"/>
            <rFont val="Century Gothic"/>
            <family val="2"/>
          </rPr>
          <t xml:space="preserve">Enter your February monthly savings here.
</t>
        </r>
      </text>
    </comment>
    <comment ref="J32" authorId="0" shapeId="0" xr:uid="{00000000-0006-0000-1000-000025000000}">
      <text>
        <r>
          <rPr>
            <sz val="9"/>
            <color theme="1"/>
            <rFont val="Century Gothic"/>
            <family val="2"/>
          </rPr>
          <t xml:space="preserve">Enter your March monthly savings here.
</t>
        </r>
      </text>
    </comment>
    <comment ref="K32" authorId="0" shapeId="0" xr:uid="{00000000-0006-0000-1000-000026000000}">
      <text>
        <r>
          <rPr>
            <sz val="9"/>
            <color theme="1"/>
            <rFont val="Century Gothic"/>
            <family val="2"/>
          </rPr>
          <t xml:space="preserve">Enter your April monthly savings here.
</t>
        </r>
      </text>
    </comment>
    <comment ref="L32" authorId="0" shapeId="0" xr:uid="{00000000-0006-0000-1000-000027000000}">
      <text>
        <r>
          <rPr>
            <sz val="9"/>
            <color theme="1"/>
            <rFont val="Century Gothic"/>
            <family val="2"/>
          </rPr>
          <t xml:space="preserve">Enter your May monthly savings here.
</t>
        </r>
      </text>
    </comment>
    <comment ref="M32" authorId="0" shapeId="0" xr:uid="{00000000-0006-0000-1000-000028000000}">
      <text>
        <r>
          <rPr>
            <sz val="9"/>
            <color theme="1"/>
            <rFont val="Century Gothic"/>
            <family val="2"/>
          </rPr>
          <t xml:space="preserve">Enter your June monthly savings here.
</t>
        </r>
      </text>
    </comment>
    <comment ref="N32" authorId="0" shapeId="0" xr:uid="{00000000-0006-0000-1000-000029000000}">
      <text>
        <r>
          <rPr>
            <sz val="9"/>
            <color theme="1"/>
            <rFont val="Century Gothic"/>
            <family val="2"/>
          </rPr>
          <t xml:space="preserve">Enter your July monthly savings here.
</t>
        </r>
      </text>
    </comment>
    <comment ref="O32" authorId="0" shapeId="0" xr:uid="{00000000-0006-0000-1000-00002A000000}">
      <text>
        <r>
          <rPr>
            <sz val="9"/>
            <color theme="1"/>
            <rFont val="Century Gothic"/>
            <family val="2"/>
          </rPr>
          <t xml:space="preserve">Enter your August monthly savings here.
</t>
        </r>
      </text>
    </comment>
    <comment ref="P32" authorId="0" shapeId="0" xr:uid="{00000000-0006-0000-1000-00002B000000}">
      <text>
        <r>
          <rPr>
            <sz val="9"/>
            <color theme="1"/>
            <rFont val="Century Gothic"/>
            <family val="2"/>
          </rPr>
          <t xml:space="preserve">Enter your September monthly savings here.
</t>
        </r>
      </text>
    </comment>
    <comment ref="Q32" authorId="0" shapeId="0" xr:uid="{00000000-0006-0000-1000-00002C000000}">
      <text>
        <r>
          <rPr>
            <sz val="9"/>
            <color theme="1"/>
            <rFont val="Century Gothic"/>
            <family val="2"/>
          </rPr>
          <t xml:space="preserve">Enter your October monthly savings here.
</t>
        </r>
      </text>
    </comment>
    <comment ref="R32" authorId="0" shapeId="0" xr:uid="{00000000-0006-0000-1000-00002D000000}">
      <text>
        <r>
          <rPr>
            <sz val="9"/>
            <color theme="1"/>
            <rFont val="Century Gothic"/>
            <family val="2"/>
          </rPr>
          <t xml:space="preserve">Enter your November monthly savings here.
</t>
        </r>
      </text>
    </comment>
    <comment ref="S32" authorId="0" shapeId="0" xr:uid="{00000000-0006-0000-1000-00002E000000}">
      <text>
        <r>
          <rPr>
            <sz val="9"/>
            <color theme="1"/>
            <rFont val="Century Gothic"/>
            <family val="2"/>
          </rPr>
          <t xml:space="preserve">Enter your December monthly savings here.
</t>
        </r>
      </text>
    </comment>
    <comment ref="T32" authorId="0" shapeId="0" xr:uid="{00000000-0006-0000-1000-00002F000000}">
      <text>
        <r>
          <rPr>
            <b/>
            <sz val="9"/>
            <color indexed="9"/>
            <rFont val="Century Gothic"/>
            <family val="2"/>
          </rPr>
          <t xml:space="preserve">% to Goal </t>
        </r>
        <r>
          <rPr>
            <sz val="9"/>
            <color indexed="81"/>
            <rFont val="Century Gothic"/>
            <family val="2"/>
          </rPr>
          <t>indicates how far you are from the desired savings and investment target.</t>
        </r>
      </text>
    </comment>
    <comment ref="U32" authorId="0" shapeId="0" xr:uid="{00000000-0006-0000-1000-000030000000}">
      <text>
        <r>
          <rPr>
            <b/>
            <sz val="9"/>
            <color indexed="9"/>
            <rFont val="Century Gothic"/>
            <family val="2"/>
          </rPr>
          <t>Annual Savings</t>
        </r>
        <r>
          <rPr>
            <sz val="9"/>
            <color theme="1"/>
            <rFont val="Century Gothic"/>
            <family val="2"/>
          </rPr>
          <t xml:space="preserve"> represents the monthly savings (including interest charged).</t>
        </r>
      </text>
    </comment>
    <comment ref="V32" authorId="0" shapeId="0" xr:uid="{00000000-0006-0000-1000-000031000000}">
      <text>
        <r>
          <rPr>
            <b/>
            <sz val="9"/>
            <color theme="1"/>
            <rFont val="Century Gothic"/>
            <family val="2"/>
          </rPr>
          <t xml:space="preserve">Total Savings  to be made </t>
        </r>
        <r>
          <rPr>
            <sz val="9"/>
            <color theme="1"/>
            <rFont val="Century Gothic"/>
            <family val="2"/>
          </rPr>
          <t>represents all the amounts still to contribute to reach the saving/investment target.</t>
        </r>
      </text>
    </comment>
    <comment ref="W32" authorId="0" shapeId="0" xr:uid="{00000000-0006-0000-1000-000032000000}">
      <text>
        <r>
          <rPr>
            <b/>
            <sz val="9"/>
            <color indexed="9"/>
            <rFont val="Century Gothic"/>
            <family val="2"/>
          </rPr>
          <t>TOTAL VALUE OF SAVINGS</t>
        </r>
        <r>
          <rPr>
            <sz val="9"/>
            <color indexed="81"/>
            <rFont val="Century Gothic"/>
            <family val="2"/>
          </rPr>
          <t xml:space="preserve"> - represents the Initial amount saved plus interest charged multipled by the savings term.</t>
        </r>
      </text>
    </comment>
    <comment ref="X32" authorId="0" shapeId="0" xr:uid="{00000000-0006-0000-1000-000033000000}">
      <text>
        <r>
          <rPr>
            <b/>
            <sz val="9"/>
            <color indexed="9"/>
            <rFont val="Century Gothic"/>
            <family val="2"/>
          </rPr>
          <t xml:space="preserve">TOTAL AMOUNT SAVED </t>
        </r>
        <r>
          <rPr>
            <sz val="9"/>
            <color theme="1"/>
            <rFont val="Century Gothic"/>
            <family val="2"/>
          </rPr>
          <t>represents the accumulative monthly savings.</t>
        </r>
      </text>
    </comment>
    <comment ref="T37" authorId="0" shapeId="0" xr:uid="{00000000-0006-0000-1000-000034000000}">
      <text>
        <r>
          <rPr>
            <sz val="9"/>
            <color theme="1"/>
            <rFont val="Century Gothic"/>
            <family val="2"/>
          </rPr>
          <t>This indicates the average % saved towards all savings &amp; investments.</t>
        </r>
      </text>
    </comment>
    <comment ref="U37" authorId="0" shapeId="0" xr:uid="{00000000-0006-0000-1000-000035000000}">
      <text>
        <r>
          <rPr>
            <sz val="9"/>
            <color theme="1"/>
            <rFont val="Century Gothic"/>
            <family val="2"/>
          </rPr>
          <t>Total of Annual savings and investments.</t>
        </r>
      </text>
    </comment>
    <comment ref="V37" authorId="0" shapeId="0" xr:uid="{00000000-0006-0000-1000-000036000000}">
      <text>
        <r>
          <rPr>
            <sz val="9"/>
            <color theme="1"/>
            <rFont val="Century Gothic"/>
            <family val="2"/>
          </rPr>
          <t>Total of all monthly savings made.</t>
        </r>
      </text>
    </comment>
    <comment ref="W37" authorId="0" shapeId="0" xr:uid="{00000000-0006-0000-1000-000037000000}">
      <text>
        <r>
          <rPr>
            <sz val="9"/>
            <color theme="1"/>
            <rFont val="Century Gothic"/>
            <family val="2"/>
          </rPr>
          <t>Sum Total of all Savings and Investments.</t>
        </r>
      </text>
    </comment>
    <comment ref="X37" authorId="0" shapeId="0" xr:uid="{00000000-0006-0000-1000-000038000000}">
      <text>
        <r>
          <rPr>
            <sz val="9"/>
            <color theme="1"/>
            <rFont val="Century Gothic"/>
            <family val="2"/>
          </rPr>
          <t>Sum Total of all saings made.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B25" authorId="0" shapeId="0" xr:uid="{00000000-0006-0000-1100-000001000000}">
      <text>
        <r>
          <rPr>
            <i/>
            <sz val="9"/>
            <color indexed="81"/>
            <rFont val="Tahoma"/>
            <family val="2"/>
          </rPr>
          <t>This is the Annual Interest Rate
i.e 10.23% will be shown as
10.23/100 = 0.1023</t>
        </r>
      </text>
    </comment>
    <comment ref="N25" authorId="0" shapeId="0" xr:uid="{00000000-0006-0000-1100-000002000000}">
      <text>
        <r>
          <rPr>
            <i/>
            <sz val="9"/>
            <color indexed="81"/>
            <rFont val="Tahoma"/>
            <family val="2"/>
          </rPr>
          <t>This is the Annual Interest Rate
i.e 10.23% will be shown as
10.23/100 = 0.1023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3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3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3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3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3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3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3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300-000008000000}">
      <text>
        <r>
          <rPr>
            <i/>
            <sz val="9"/>
            <color indexed="81"/>
            <rFont val="Tahoma"/>
            <family val="2"/>
          </rPr>
          <t>The actual amounts saved are represented here.</t>
        </r>
      </text>
    </comment>
    <comment ref="O41" authorId="0" shapeId="0" xr:uid="{00000000-0006-0000-03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4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4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4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4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4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4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4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400-000008000000}">
      <text>
        <r>
          <rPr>
            <i/>
            <sz val="9"/>
            <color indexed="81"/>
            <rFont val="Tahoma"/>
            <family val="2"/>
          </rPr>
          <t>The actual amounts saved are represented here.</t>
        </r>
      </text>
    </comment>
    <comment ref="O41" authorId="0" shapeId="0" xr:uid="{00000000-0006-0000-04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5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5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5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5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5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5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5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500-000008000000}">
      <text>
        <r>
          <rPr>
            <i/>
            <sz val="9"/>
            <color indexed="81"/>
            <rFont val="Tahoma"/>
            <family val="2"/>
          </rPr>
          <t>The actual amounts saved are represented here.</t>
        </r>
      </text>
    </comment>
    <comment ref="O41" authorId="0" shapeId="0" xr:uid="{00000000-0006-0000-05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6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6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6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6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6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6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6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600-000008000000}">
      <text>
        <r>
          <rPr>
            <i/>
            <sz val="9"/>
            <color indexed="81"/>
            <rFont val="Tahoma"/>
            <family val="2"/>
          </rPr>
          <t>The actual amounts saved are represented here.</t>
        </r>
      </text>
    </comment>
    <comment ref="O41" authorId="0" shapeId="0" xr:uid="{00000000-0006-0000-06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7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7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7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7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7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7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7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700-000008000000}">
      <text>
        <r>
          <rPr>
            <i/>
            <sz val="9"/>
            <color indexed="81"/>
            <rFont val="Tahoma"/>
            <family val="2"/>
          </rPr>
          <t>The actual amounts saved are represented here.</t>
        </r>
      </text>
    </comment>
    <comment ref="O41" authorId="0" shapeId="0" xr:uid="{00000000-0006-0000-07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8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8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8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8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8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8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8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800-000008000000}">
      <text>
        <r>
          <rPr>
            <i/>
            <sz val="9"/>
            <color indexed="81"/>
            <rFont val="Tahoma"/>
            <family val="2"/>
          </rPr>
          <t>The actual amounts saved are represented here.</t>
        </r>
      </text>
    </comment>
    <comment ref="O41" authorId="0" shapeId="0" xr:uid="{00000000-0006-0000-08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9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9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9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9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9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9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9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900-000008000000}">
      <text>
        <r>
          <rPr>
            <i/>
            <sz val="9"/>
            <color indexed="81"/>
            <rFont val="Tahoma"/>
            <family val="2"/>
          </rPr>
          <t>The actual amounts saved are represented here.</t>
        </r>
      </text>
    </comment>
    <comment ref="O41" authorId="0" shapeId="0" xr:uid="{00000000-0006-0000-09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Ivor Msimang</author>
  </authors>
  <commentList>
    <comment ref="C41" authorId="0" shapeId="0" xr:uid="{00000000-0006-0000-0A00-000001000000}">
      <text>
        <r>
          <rPr>
            <i/>
            <sz val="9"/>
            <color indexed="81"/>
            <rFont val="Tahoma"/>
            <family val="2"/>
          </rPr>
          <t xml:space="preserve">Enter the </t>
        </r>
        <r>
          <rPr>
            <i/>
            <sz val="9"/>
            <color indexed="12"/>
            <rFont val="Tahoma"/>
            <family val="2"/>
          </rPr>
          <t xml:space="preserve">budgeted amount </t>
        </r>
        <r>
          <rPr>
            <i/>
            <sz val="9"/>
            <color indexed="81"/>
            <rFont val="Tahoma"/>
            <family val="2"/>
          </rPr>
          <t xml:space="preserve">here.
</t>
        </r>
      </text>
    </comment>
    <comment ref="D41" authorId="0" shapeId="0" xr:uid="{00000000-0006-0000-0A00-000002000000}">
      <text>
        <r>
          <rPr>
            <i/>
            <sz val="8"/>
            <color indexed="81"/>
            <rFont val="Tahoma"/>
            <family val="2"/>
          </rPr>
          <t xml:space="preserve">Enter the </t>
        </r>
        <r>
          <rPr>
            <i/>
            <sz val="8"/>
            <color indexed="58"/>
            <rFont val="Tahoma"/>
            <family val="2"/>
          </rPr>
          <t xml:space="preserve">Actual Amount received </t>
        </r>
        <r>
          <rPr>
            <i/>
            <sz val="8"/>
            <color indexed="81"/>
            <rFont val="Tahoma"/>
            <family val="2"/>
          </rPr>
          <t>here.</t>
        </r>
        <r>
          <rPr>
            <sz val="9"/>
            <color indexed="81"/>
            <rFont val="Tahoma"/>
            <family val="2"/>
          </rPr>
          <t xml:space="preserve">
</t>
        </r>
      </text>
    </comment>
    <comment ref="E41" authorId="0" shapeId="0" xr:uid="{00000000-0006-0000-0A00-000003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text>
    </comment>
    <comment ref="H41" authorId="0" shapeId="0" xr:uid="{00000000-0006-0000-0A00-000004000000}">
      <text>
        <r>
          <rPr>
            <i/>
            <sz val="8"/>
            <color indexed="81"/>
            <rFont val="Tahoma"/>
            <family val="2"/>
          </rPr>
          <t>Enter the</t>
        </r>
        <r>
          <rPr>
            <i/>
            <sz val="8"/>
            <color indexed="12"/>
            <rFont val="Tahoma"/>
            <family val="2"/>
          </rPr>
          <t xml:space="preserve"> budgeted amounts </t>
        </r>
        <r>
          <rPr>
            <i/>
            <sz val="8"/>
            <color indexed="81"/>
            <rFont val="Tahoma"/>
            <family val="2"/>
          </rPr>
          <t>here.</t>
        </r>
        <r>
          <rPr>
            <sz val="9"/>
            <color indexed="81"/>
            <rFont val="Tahoma"/>
            <family val="2"/>
          </rPr>
          <t xml:space="preserve">
</t>
        </r>
      </text>
    </comment>
    <comment ref="I41" authorId="0" shapeId="0" xr:uid="{00000000-0006-0000-0A00-000005000000}">
      <text>
        <r>
          <rPr>
            <i/>
            <sz val="8"/>
            <color indexed="81"/>
            <rFont val="Tahoma"/>
            <family val="2"/>
          </rPr>
          <t>Enter the</t>
        </r>
        <r>
          <rPr>
            <i/>
            <sz val="8"/>
            <color indexed="12"/>
            <rFont val="Tahoma"/>
            <family val="2"/>
          </rPr>
          <t xml:space="preserve"> actual amount spent</t>
        </r>
        <r>
          <rPr>
            <i/>
            <sz val="8"/>
            <color indexed="81"/>
            <rFont val="Tahoma"/>
            <family val="2"/>
          </rPr>
          <t>.</t>
        </r>
      </text>
    </comment>
    <comment ref="J41" authorId="0" shapeId="0" xr:uid="{00000000-0006-0000-0A00-000006000000}">
      <text>
        <r>
          <rPr>
            <i/>
            <sz val="8"/>
            <color indexed="81"/>
            <rFont val="Tahoma"/>
            <family val="2"/>
          </rPr>
          <t xml:space="preserve">Over spend is represented by a </t>
        </r>
        <r>
          <rPr>
            <i/>
            <sz val="8"/>
            <color indexed="10"/>
            <rFont val="Tahoma"/>
            <family val="2"/>
          </rPr>
          <t>red</t>
        </r>
        <r>
          <rPr>
            <i/>
            <sz val="8"/>
            <color indexed="12"/>
            <rFont val="Tahoma"/>
            <family val="2"/>
          </rPr>
          <t xml:space="preserve"> </t>
        </r>
        <r>
          <rPr>
            <i/>
            <sz val="8"/>
            <color indexed="81"/>
            <rFont val="Tahoma"/>
            <family val="2"/>
          </rPr>
          <t>colour.</t>
        </r>
      </text>
    </comment>
    <comment ref="M41" authorId="0" shapeId="0" xr:uid="{00000000-0006-0000-0A00-000007000000}">
      <text>
        <r>
          <rPr>
            <i/>
            <sz val="9"/>
            <color indexed="81"/>
            <rFont val="Tahoma"/>
            <family val="2"/>
          </rPr>
          <t>The budgeted amounts are represented here.</t>
        </r>
        <r>
          <rPr>
            <sz val="9"/>
            <color indexed="81"/>
            <rFont val="Tahoma"/>
            <family val="2"/>
          </rPr>
          <t xml:space="preserve">
</t>
        </r>
      </text>
    </comment>
    <comment ref="N41" authorId="0" shapeId="0" xr:uid="{00000000-0006-0000-0A00-000008000000}">
      <text>
        <r>
          <rPr>
            <i/>
            <sz val="9"/>
            <color indexed="81"/>
            <rFont val="Tahoma"/>
            <family val="2"/>
          </rPr>
          <t>The actual amounts saved are represented here.</t>
        </r>
      </text>
    </comment>
    <comment ref="O41" authorId="0" shapeId="0" xr:uid="{00000000-0006-0000-0A00-000009000000}">
      <text>
        <r>
          <rPr>
            <i/>
            <sz val="9"/>
            <color indexed="81"/>
            <rFont val="Tahoma"/>
            <family val="2"/>
          </rPr>
          <t xml:space="preserve">Under provision is represented by a </t>
        </r>
        <r>
          <rPr>
            <i/>
            <sz val="9"/>
            <color indexed="10"/>
            <rFont val="Tahoma"/>
            <family val="2"/>
          </rPr>
          <t xml:space="preserve">red </t>
        </r>
        <r>
          <rPr>
            <i/>
            <sz val="9"/>
            <color indexed="81"/>
            <rFont val="Tahoma"/>
            <family val="2"/>
          </rPr>
          <t>colour.</t>
        </r>
        <r>
          <rPr>
            <sz val="9"/>
            <color indexed="81"/>
            <rFont val="Tahoma"/>
            <family val="2"/>
          </rPr>
          <t xml:space="preserve">
</t>
        </r>
      </text>
    </comment>
  </commentList>
</comments>
</file>

<file path=xl/sharedStrings.xml><?xml version="1.0" encoding="utf-8"?>
<sst xmlns="http://schemas.openxmlformats.org/spreadsheetml/2006/main" count="2973" uniqueCount="1802">
  <si>
    <r>
      <rPr>
        <sz val="9"/>
        <rFont val="Arial"/>
        <family val="2"/>
      </rPr>
      <t xml:space="preserve">ASISA FOUNDATION  - </t>
    </r>
    <r>
      <rPr>
        <b/>
        <sz val="9"/>
        <color rgb="FFC00000"/>
        <rFont val="Arial"/>
        <family val="2"/>
      </rPr>
      <t>SWW L+EARN</t>
    </r>
    <r>
      <rPr>
        <sz val="9"/>
        <color rgb="FFFF0000"/>
        <rFont val="Arial"/>
        <family val="2"/>
      </rPr>
      <t xml:space="preserve"> </t>
    </r>
    <r>
      <rPr>
        <i/>
        <sz val="9"/>
        <rFont val="Arial"/>
        <family val="2"/>
      </rPr>
      <t xml:space="preserve">PERSONAL FINANCIAL TOOL </t>
    </r>
  </si>
  <si>
    <t>MONTHLY BUDGET - JAN</t>
  </si>
  <si>
    <t>Money coming in this month</t>
  </si>
  <si>
    <t>Income</t>
  </si>
  <si>
    <t>Budget</t>
  </si>
  <si>
    <t>Actual</t>
  </si>
  <si>
    <t>Over/Under</t>
  </si>
  <si>
    <t>Parents</t>
  </si>
  <si>
    <t>Family Member/Sponsor</t>
  </si>
  <si>
    <t>Part-Time Work</t>
  </si>
  <si>
    <t>Grants/Bursaries</t>
  </si>
  <si>
    <t>Business</t>
  </si>
  <si>
    <t xml:space="preserve">Maintenance </t>
  </si>
  <si>
    <t>Stokvel</t>
  </si>
  <si>
    <t>Other</t>
  </si>
  <si>
    <t>What is spent this month</t>
  </si>
  <si>
    <t>Expenses</t>
  </si>
  <si>
    <t>Rental</t>
  </si>
  <si>
    <t>Clothes</t>
  </si>
  <si>
    <t>Hair</t>
  </si>
  <si>
    <t>Transport</t>
  </si>
  <si>
    <t>Airtime/Data</t>
  </si>
  <si>
    <t xml:space="preserve">Entertainment </t>
  </si>
  <si>
    <t xml:space="preserve">Other </t>
  </si>
  <si>
    <t>Savings &amp; Investments</t>
  </si>
  <si>
    <t>Saving/Investment</t>
  </si>
  <si>
    <t>Goals</t>
  </si>
  <si>
    <t>Savings and Investments</t>
  </si>
  <si>
    <t>Sub-Total</t>
  </si>
  <si>
    <t>Financial Scorecard</t>
  </si>
  <si>
    <t>Formal &amp; Retail</t>
  </si>
  <si>
    <t>Jan</t>
  </si>
  <si>
    <t>Feb</t>
  </si>
  <si>
    <t>Mar</t>
  </si>
  <si>
    <t>Apr</t>
  </si>
  <si>
    <t>May</t>
  </si>
  <si>
    <t>Jun</t>
  </si>
  <si>
    <t>Jul</t>
  </si>
  <si>
    <t>Aug</t>
  </si>
  <si>
    <t>Sep</t>
  </si>
  <si>
    <t>Oct</t>
  </si>
  <si>
    <t>Nov</t>
  </si>
  <si>
    <t>Dec</t>
  </si>
  <si>
    <t>Name</t>
  </si>
  <si>
    <t>Payment Term</t>
  </si>
  <si>
    <t>Minimun Installments</t>
  </si>
  <si>
    <t>Monthly Installments</t>
  </si>
  <si>
    <t>Initial Amount Owed</t>
  </si>
  <si>
    <t>Total Amount Paid</t>
  </si>
  <si>
    <t>%  to Goal</t>
  </si>
  <si>
    <t>Balance</t>
  </si>
  <si>
    <t>TOTAL Amount Owed</t>
  </si>
  <si>
    <t xml:space="preserve">Informal </t>
  </si>
  <si>
    <t>Annual Payment</t>
  </si>
  <si>
    <t>Total amount to be paid</t>
  </si>
  <si>
    <t>Total Cost of Credit</t>
  </si>
  <si>
    <t>Formal_PaymentTerm_1</t>
  </si>
  <si>
    <t>Bank charges</t>
  </si>
  <si>
    <t>='Financial Scorecard'!#REF!</t>
  </si>
  <si>
    <t>Annual_Payment</t>
  </si>
  <si>
    <t>='Financial Scorecard'!$T$23:$T$30</t>
  </si>
  <si>
    <t>FinScor_Apr_Formal</t>
  </si>
  <si>
    <t>='Financial Scorecard'!$J$23:$J$30</t>
  </si>
  <si>
    <t>FinScor_Aug_Formal</t>
  </si>
  <si>
    <t>='Financial Scorecard'!$N$23:$N$30</t>
  </si>
  <si>
    <t>FinScor_Dec_Formal</t>
  </si>
  <si>
    <t>='Financial Scorecard'!$R$23:$R$30</t>
  </si>
  <si>
    <t>FinScor_Feb_Formal</t>
  </si>
  <si>
    <t>='Financial Scorecard'!$H$23:$H$30</t>
  </si>
  <si>
    <t>FinScor_Jan_formal</t>
  </si>
  <si>
    <t>='Financial Scorecard'!$G$23:$G$30</t>
  </si>
  <si>
    <t>FinScor_Jul_formal</t>
  </si>
  <si>
    <t>='Financial Scorecard'!$M$23:$M$30</t>
  </si>
  <si>
    <t>FinScor_Jun_Formal</t>
  </si>
  <si>
    <t>='Financial Scorecard'!$L$23:$L$30</t>
  </si>
  <si>
    <t>FinScor_Mar_Formal</t>
  </si>
  <si>
    <t>='Financial Scorecard'!$I$23:$I$30</t>
  </si>
  <si>
    <t>FinScor_May_Formal</t>
  </si>
  <si>
    <t>='Financial Scorecard'!$K$23:$K$30</t>
  </si>
  <si>
    <t>FinScor_Nov_Formal</t>
  </si>
  <si>
    <t>='Financial Scorecard'!$Q$23:$Q$30</t>
  </si>
  <si>
    <t>FinScor_Oct_Formal</t>
  </si>
  <si>
    <t>='Financial Scorecard'!$P$23:$P$30</t>
  </si>
  <si>
    <t>FinScor_Sep_formal</t>
  </si>
  <si>
    <t>='Financial Scorecard'!$O$23:$O$30</t>
  </si>
  <si>
    <t>Formal_1_payment</t>
  </si>
  <si>
    <t>='Financial Scorecard'!$G$23:$R$23</t>
  </si>
  <si>
    <t>Formal_2_Payment</t>
  </si>
  <si>
    <t>='Financial Scorecard'!$G$24:$R$24</t>
  </si>
  <si>
    <t>Formal_3_Paument</t>
  </si>
  <si>
    <t>='Financial Scorecard'!$G$25:$R$25</t>
  </si>
  <si>
    <t>Formal_4_Payment</t>
  </si>
  <si>
    <t>='Financial Scorecard'!$G$26:$R$26</t>
  </si>
  <si>
    <t>Formal_5_payment</t>
  </si>
  <si>
    <t>='Financial Scorecard'!$G$27:$R$27</t>
  </si>
  <si>
    <t>Formal_6_Payment</t>
  </si>
  <si>
    <t>='Financial Scorecard'!$G$28:$R$28</t>
  </si>
  <si>
    <t>Formal_7_Paymant</t>
  </si>
  <si>
    <t>='Financial Scorecard'!$G$29:$R$29</t>
  </si>
  <si>
    <t>Formal_8_Payment</t>
  </si>
  <si>
    <t>='Financial Scorecard'!$G$30:$R$30</t>
  </si>
  <si>
    <t>Formal_Balance</t>
  </si>
  <si>
    <t>='Financial Scorecard'!$X$26</t>
  </si>
  <si>
    <t>Formal_InitialAmount_Owed_1</t>
  </si>
  <si>
    <t>='Financial Scorecard'!$C$23</t>
  </si>
  <si>
    <t>Formal_InitialAmount_Owed_2</t>
  </si>
  <si>
    <t>='Financial Scorecard'!$C$24</t>
  </si>
  <si>
    <t>Formal_InitialAmount_Owed_3</t>
  </si>
  <si>
    <t>='Financial Scorecard'!$C$25</t>
  </si>
  <si>
    <t>Formal_InitialAmount_Owed_4</t>
  </si>
  <si>
    <t>='Financial Scorecard'!$C$26</t>
  </si>
  <si>
    <t>Formal_InitialAmount_Owed_5</t>
  </si>
  <si>
    <t>='Financial Scorecard'!$C$27</t>
  </si>
  <si>
    <t>Formal_InitialAmount_Owed_6</t>
  </si>
  <si>
    <t>='Financial Scorecard'!$C$28</t>
  </si>
  <si>
    <t>Formal_InitialAmount_Owed_7</t>
  </si>
  <si>
    <t>='Financial Scorecard'!$C$29</t>
  </si>
  <si>
    <t>Formal_InitialAmount_Owed_8</t>
  </si>
  <si>
    <t>='Financial Scorecard'!$C$30</t>
  </si>
  <si>
    <t>Formal_Interest_1</t>
  </si>
  <si>
    <t>='Financial Scorecard'!$D$23</t>
  </si>
  <si>
    <t>Formal_Interest_2</t>
  </si>
  <si>
    <t>='Financial Scorecard'!$D$24</t>
  </si>
  <si>
    <t>Formal_Interest_3</t>
  </si>
  <si>
    <t>='Financial Scorecard'!$D$25</t>
  </si>
  <si>
    <t>Formal_Interest_4</t>
  </si>
  <si>
    <t>='Financial Scorecard'!$D$26</t>
  </si>
  <si>
    <t>Formal_Interest_5</t>
  </si>
  <si>
    <t>='Financial Scorecard'!$D$27</t>
  </si>
  <si>
    <t>Formal_Interest_6</t>
  </si>
  <si>
    <t>='Financial Scorecard'!$D$28</t>
  </si>
  <si>
    <t>Formal_Interest_7</t>
  </si>
  <si>
    <t>='Financial Scorecard'!$D$29</t>
  </si>
  <si>
    <t>Formal_Interest_8</t>
  </si>
  <si>
    <t>='Financial Scorecard'!$D$30</t>
  </si>
  <si>
    <t>Formal_Minimum_Installments</t>
  </si>
  <si>
    <t>='Financial Scorecard'!$F$23:$F$30</t>
  </si>
  <si>
    <t>='Financial Scorecard'!$E$23</t>
  </si>
  <si>
    <t>Formal_PaymentTerm_2</t>
  </si>
  <si>
    <t>='Financial Scorecard'!$E$24</t>
  </si>
  <si>
    <t>Formal_PaymentTerm_3</t>
  </si>
  <si>
    <t>='Financial Scorecard'!$E$25</t>
  </si>
  <si>
    <t>Formal_PaymentTerm_4</t>
  </si>
  <si>
    <t>='Financial Scorecard'!$E$26</t>
  </si>
  <si>
    <t>Formal_PaymentTerm_5</t>
  </si>
  <si>
    <t>='Financial Scorecard'!$E$27</t>
  </si>
  <si>
    <t>Formal_PaymentTerm_6</t>
  </si>
  <si>
    <t>='Financial Scorecard'!$E$28</t>
  </si>
  <si>
    <t>Formal_PaymentTerm_7</t>
  </si>
  <si>
    <t>='Financial Scorecard'!$E$29</t>
  </si>
  <si>
    <t>Formal_PaymentTerm_8</t>
  </si>
  <si>
    <t>='Financial Scorecard'!$E$30</t>
  </si>
  <si>
    <t>Initial_amount_Owed_Formal</t>
  </si>
  <si>
    <t>='Financial Scorecard'!$C$23:$C$30</t>
  </si>
  <si>
    <t>Names_Formal_and_Retail</t>
  </si>
  <si>
    <t>='Financial Scorecard'!$B$23:$C$30</t>
  </si>
  <si>
    <t>percentage_to_goal_formal</t>
  </si>
  <si>
    <t>='Financial Scorecard'!$S$23:$S$30</t>
  </si>
  <si>
    <t>Total_Amount_Paid_Formal</t>
  </si>
  <si>
    <t>='Financial Scorecard'!$W$23:$W$30</t>
  </si>
  <si>
    <t>Total_Amount_to_be_Paid_formal</t>
  </si>
  <si>
    <t>='Financial Scorecard'!$U$23:$U$30</t>
  </si>
  <si>
    <t>Total_Cost_of_Credit_formal</t>
  </si>
  <si>
    <t>='Financial Scorecard'!$V$23:$V$30</t>
  </si>
  <si>
    <t>Formal_Feb_SubTotal</t>
  </si>
  <si>
    <t>='Financial Scorecard'!$H$31</t>
  </si>
  <si>
    <t>Formal_Jan_SubTotal</t>
  </si>
  <si>
    <t>='Financial Scorecard'!$G$31</t>
  </si>
  <si>
    <t>Formal_Mar_SubTotal</t>
  </si>
  <si>
    <t>='Financial Scorecard'!$I$31</t>
  </si>
  <si>
    <t>Formal_SubTotals</t>
  </si>
  <si>
    <t>='Financial Scorecard'!$G$31:$R$31</t>
  </si>
  <si>
    <t>Range Naming for all worksheets</t>
  </si>
  <si>
    <t>Range Name</t>
  </si>
  <si>
    <t>Range cell reference</t>
  </si>
  <si>
    <t>Formal_Annaul_Payment_1</t>
  </si>
  <si>
    <t>='Financial Scorecard'!$T$23</t>
  </si>
  <si>
    <t>Formal_Annaul_Payment_2</t>
  </si>
  <si>
    <t>='Financial Scorecard'!$T$24</t>
  </si>
  <si>
    <t>Formal_Annaul_Payment_3</t>
  </si>
  <si>
    <t>='Financial Scorecard'!$T$25</t>
  </si>
  <si>
    <t>Formal_Annaul_Payment_4</t>
  </si>
  <si>
    <t>='Financial Scorecard'!$T$26</t>
  </si>
  <si>
    <t>Formal_Annaul_Payment_5</t>
  </si>
  <si>
    <t>='Financial Scorecard'!$T$27</t>
  </si>
  <si>
    <t>Formal_Annaul_Payment_6</t>
  </si>
  <si>
    <t>='Financial Scorecard'!$T$28</t>
  </si>
  <si>
    <t>Formal_Annaul_Payment_7</t>
  </si>
  <si>
    <t>='Financial Scorecard'!$T$29</t>
  </si>
  <si>
    <t>Formal_Annaul_Payment_8</t>
  </si>
  <si>
    <t>='Financial Scorecard'!$T$30</t>
  </si>
  <si>
    <t>Formal_Annual_Payment</t>
  </si>
  <si>
    <t>='Financial Scorecard'!$T$31</t>
  </si>
  <si>
    <t>Formal_Apr_SubTotal</t>
  </si>
  <si>
    <t>='Financial Scorecard'!$J$31</t>
  </si>
  <si>
    <t>Formal_Aug_SubTotal</t>
  </si>
  <si>
    <t>='Financial Scorecard'!$N$31</t>
  </si>
  <si>
    <t>Formal_Dec_SubTotal</t>
  </si>
  <si>
    <t>='Financial Scorecard'!$R$31</t>
  </si>
  <si>
    <t>Formal_IAO</t>
  </si>
  <si>
    <t>='Financial Scorecard'!$C$31</t>
  </si>
  <si>
    <t>Formal_Jul_SubTotal</t>
  </si>
  <si>
    <t>='Financial Scorecard'!$M$31</t>
  </si>
  <si>
    <t>Formal_Jun_SubTotal</t>
  </si>
  <si>
    <t>='Financial Scorecard'!$L$31</t>
  </si>
  <si>
    <t>Formal_May_SubTotal</t>
  </si>
  <si>
    <t>='Financial Scorecard'!$K$31</t>
  </si>
  <si>
    <t>Formal_MI</t>
  </si>
  <si>
    <t>='Financial Scorecard'!$F$31</t>
  </si>
  <si>
    <t>Formal_Minimum_Installment_1</t>
  </si>
  <si>
    <t>='Financial Scorecard'!$F$23</t>
  </si>
  <si>
    <t>Formal_Minimum_Installment_2</t>
  </si>
  <si>
    <t>='Financial Scorecard'!$F$24</t>
  </si>
  <si>
    <t>Formal_Minimum_Installment_3</t>
  </si>
  <si>
    <t>='Financial Scorecard'!$F$25</t>
  </si>
  <si>
    <t>Formal_Minimum_Installment_4</t>
  </si>
  <si>
    <t>='Financial Scorecard'!$F$26</t>
  </si>
  <si>
    <t>Formal_Minimum_Installment_5</t>
  </si>
  <si>
    <t>='Financial Scorecard'!$F$27</t>
  </si>
  <si>
    <t>Formal_Minimum_Installment_6</t>
  </si>
  <si>
    <t>='Financial Scorecard'!$F$28</t>
  </si>
  <si>
    <t>Formal_Minimum_Installment_7</t>
  </si>
  <si>
    <t>='Financial Scorecard'!$F$29</t>
  </si>
  <si>
    <t>Formal_Minimum_Installment_8</t>
  </si>
  <si>
    <t>='Financial Scorecard'!$F$30</t>
  </si>
  <si>
    <t>Formal_Name_1</t>
  </si>
  <si>
    <t>='Financial Scorecard'!$B$23</t>
  </si>
  <si>
    <t>Formal_Name_2</t>
  </si>
  <si>
    <t>='Financial Scorecard'!$B$24</t>
  </si>
  <si>
    <t>Formal_Name_3</t>
  </si>
  <si>
    <t>='Financial Scorecard'!$B$25</t>
  </si>
  <si>
    <t>Formal_Name_4</t>
  </si>
  <si>
    <t>='Financial Scorecard'!$B$26</t>
  </si>
  <si>
    <t>Formal_Name_5</t>
  </si>
  <si>
    <t>='Financial Scorecard'!$B$27</t>
  </si>
  <si>
    <t>Formal_Name_6</t>
  </si>
  <si>
    <t>='Financial Scorecard'!$B$28</t>
  </si>
  <si>
    <t>Formal_Name_7</t>
  </si>
  <si>
    <t>='Financial Scorecard'!$B$29</t>
  </si>
  <si>
    <t>Formal_Name_8</t>
  </si>
  <si>
    <t>='Financial Scorecard'!$B$30</t>
  </si>
  <si>
    <t>Formal_Nov_SubTotal</t>
  </si>
  <si>
    <t>='Financial Scorecard'!$Q$31</t>
  </si>
  <si>
    <t>Formal_Oct_SubTotal</t>
  </si>
  <si>
    <t>='Financial Scorecard'!$P$31</t>
  </si>
  <si>
    <t>Formal_perc_To_Goal_1</t>
  </si>
  <si>
    <t>='Financial Scorecard'!$S$23</t>
  </si>
  <si>
    <t>Formal_perc_To_Goal_2</t>
  </si>
  <si>
    <t>='Financial Scorecard'!$S$24</t>
  </si>
  <si>
    <t>Formal_perc_To_Goal_3</t>
  </si>
  <si>
    <t>='Financial Scorecard'!$S$25</t>
  </si>
  <si>
    <t>Formal_perc_To_Goal_4</t>
  </si>
  <si>
    <t>='Financial Scorecard'!$S$26</t>
  </si>
  <si>
    <t>Formal_perc_To_Goal_5</t>
  </si>
  <si>
    <t>='Financial Scorecard'!$S$27</t>
  </si>
  <si>
    <t>Formal_perc_To_Goal_6</t>
  </si>
  <si>
    <t>='Financial Scorecard'!$S$28</t>
  </si>
  <si>
    <t>Formal_perc_To_Goal_7</t>
  </si>
  <si>
    <t>='Financial Scorecard'!$S$29</t>
  </si>
  <si>
    <t>Formal_perc_To_Goal_8</t>
  </si>
  <si>
    <t>='Financial Scorecard'!$S$30</t>
  </si>
  <si>
    <t>Formal_Sep_SubTotal</t>
  </si>
  <si>
    <t>='Financial Scorecard'!$O$31</t>
  </si>
  <si>
    <t>Formal_TAP</t>
  </si>
  <si>
    <t>='Financial Scorecard'!$W$31</t>
  </si>
  <si>
    <t>Formal_TAP_1</t>
  </si>
  <si>
    <t>='Financial Scorecard'!$W$23</t>
  </si>
  <si>
    <t>Formal_TAP_2</t>
  </si>
  <si>
    <t>='Financial Scorecard'!$W$24</t>
  </si>
  <si>
    <t>Formal_TAP_3</t>
  </si>
  <si>
    <t>='Financial Scorecard'!$W$25</t>
  </si>
  <si>
    <t>Formal_TAP_4</t>
  </si>
  <si>
    <t>='Financial Scorecard'!$W$26</t>
  </si>
  <si>
    <t>Formal_TAP_5</t>
  </si>
  <si>
    <t>='Financial Scorecard'!$W$27</t>
  </si>
  <si>
    <t>Formal_TAP_6</t>
  </si>
  <si>
    <t>='Financial Scorecard'!$W$28</t>
  </si>
  <si>
    <t>Formal_TAP_7</t>
  </si>
  <si>
    <t>='Financial Scorecard'!$W$29</t>
  </si>
  <si>
    <t>Formal_TAP_8</t>
  </si>
  <si>
    <t>='Financial Scorecard'!$W$30</t>
  </si>
  <si>
    <t>Formal_TATBP_1</t>
  </si>
  <si>
    <t>='Financial Scorecard'!$U$23</t>
  </si>
  <si>
    <t>Formal_TATBP_2</t>
  </si>
  <si>
    <t>='Financial Scorecard'!$U$24</t>
  </si>
  <si>
    <t>Formal_TATBP_3</t>
  </si>
  <si>
    <t>='Financial Scorecard'!$U$25</t>
  </si>
  <si>
    <t>Formal_TATBP_4</t>
  </si>
  <si>
    <t>='Financial Scorecard'!$U$26</t>
  </si>
  <si>
    <t>Formal_TATBP_5</t>
  </si>
  <si>
    <t>='Financial Scorecard'!$U$27</t>
  </si>
  <si>
    <t>Formal_TATBP_6</t>
  </si>
  <si>
    <t>='Financial Scorecard'!$U$28</t>
  </si>
  <si>
    <t>Formal_TATBP_7</t>
  </si>
  <si>
    <t>='Financial Scorecard'!$U$29</t>
  </si>
  <si>
    <t>Formal_TATBP_8</t>
  </si>
  <si>
    <t>='Financial Scorecard'!$U$30</t>
  </si>
  <si>
    <t>Formal_TCC</t>
  </si>
  <si>
    <t>='Financial Scorecard'!$V$31</t>
  </si>
  <si>
    <t>Formal_TCC_1</t>
  </si>
  <si>
    <t>='Financial Scorecard'!$V$23</t>
  </si>
  <si>
    <t>Formal_TCC_2</t>
  </si>
  <si>
    <t>='Financial Scorecard'!$V$24</t>
  </si>
  <si>
    <t>Formal_TCC_3</t>
  </si>
  <si>
    <t>='Financial Scorecard'!$V$25</t>
  </si>
  <si>
    <t>Formal_TCC_4</t>
  </si>
  <si>
    <t>='Financial Scorecard'!$V$26</t>
  </si>
  <si>
    <t>Formal_TCC_5</t>
  </si>
  <si>
    <t>='Financial Scorecard'!$V$27</t>
  </si>
  <si>
    <t>Formal_TCC_6</t>
  </si>
  <si>
    <t>='Financial Scorecard'!$V$28</t>
  </si>
  <si>
    <t>Formal_TCC_7</t>
  </si>
  <si>
    <t>='Financial Scorecard'!$V$29</t>
  </si>
  <si>
    <t>Formal_TCC_8</t>
  </si>
  <si>
    <t>='Financial Scorecard'!$V$30</t>
  </si>
  <si>
    <t>Formal_Total_perc_To_Goal</t>
  </si>
  <si>
    <t>='Financial Scorecard'!$S$31</t>
  </si>
  <si>
    <t>Formal_TotalAmount_To_be_paid</t>
  </si>
  <si>
    <t>='Financial Scorecard'!$U$31</t>
  </si>
  <si>
    <t>Informal_InitialAmount_Owed_1</t>
  </si>
  <si>
    <t>='Financial Scorecard'!$C$34</t>
  </si>
  <si>
    <t>Informal_InitialAmount_Owed_2</t>
  </si>
  <si>
    <t>='Financial Scorecard'!$C$35</t>
  </si>
  <si>
    <t>Informal_InitialAmount_Owed_3</t>
  </si>
  <si>
    <t>='Financial Scorecard'!$C$36</t>
  </si>
  <si>
    <t>Informal_InitialAmount_Owed_4</t>
  </si>
  <si>
    <t>='Financial Scorecard'!$C$37</t>
  </si>
  <si>
    <t>Informal_InitialAmount_Owed_5</t>
  </si>
  <si>
    <t>='Financial Scorecard'!$C$38</t>
  </si>
  <si>
    <t>Informal_Interest_1</t>
  </si>
  <si>
    <t>='Financial Scorecard'!$D$34</t>
  </si>
  <si>
    <t>Informal_Interest_2</t>
  </si>
  <si>
    <t>='Financial Scorecard'!$D$35</t>
  </si>
  <si>
    <t>Informal_Interest_3</t>
  </si>
  <si>
    <t>='Financial Scorecard'!$D$36</t>
  </si>
  <si>
    <t>Informal_Interest_4</t>
  </si>
  <si>
    <t>='Financial Scorecard'!$D$37</t>
  </si>
  <si>
    <t>Informal_Interest_5</t>
  </si>
  <si>
    <t>='Financial Scorecard'!$D$38</t>
  </si>
  <si>
    <t>Informal_PaymentTerm_1</t>
  </si>
  <si>
    <t>='Financial Scorecard'!$E$34</t>
  </si>
  <si>
    <t>Informal_PaymentTerm_2</t>
  </si>
  <si>
    <t>='Financial Scorecard'!$E$35</t>
  </si>
  <si>
    <t>Informal_PaymentTerm_3</t>
  </si>
  <si>
    <t>='Financial Scorecard'!$E$36</t>
  </si>
  <si>
    <t>Informal_PaymentTerm_4</t>
  </si>
  <si>
    <t>='Financial Scorecard'!$E$37</t>
  </si>
  <si>
    <t>Informal_PaymentTerm_5</t>
  </si>
  <si>
    <t>='Financial Scorecard'!$E$38</t>
  </si>
  <si>
    <t>Family &amp; Friends</t>
  </si>
  <si>
    <t>Goal Description</t>
  </si>
  <si>
    <t>Monthly Savings</t>
  </si>
  <si>
    <t>Savings Toward Goals</t>
  </si>
  <si>
    <r>
      <t xml:space="preserve">Saving Term
</t>
    </r>
    <r>
      <rPr>
        <sz val="9"/>
        <color theme="0"/>
        <rFont val="Century Gothic"/>
        <family val="2"/>
      </rPr>
      <t>(In months)</t>
    </r>
  </si>
  <si>
    <t>Annual Savings</t>
  </si>
  <si>
    <t>Total value of Savings</t>
  </si>
  <si>
    <t>TOTAL Amount To be Saved</t>
  </si>
  <si>
    <t>Annual Interest</t>
  </si>
  <si>
    <t>Monthly Interest</t>
  </si>
  <si>
    <r>
      <t xml:space="preserve">Initial Amount To Save
</t>
    </r>
    <r>
      <rPr>
        <sz val="9"/>
        <color theme="0"/>
        <rFont val="Century Gothic"/>
        <family val="2"/>
      </rPr>
      <t>(Before Interest)</t>
    </r>
  </si>
  <si>
    <r>
      <t xml:space="preserve">Monthly Interest
</t>
    </r>
    <r>
      <rPr>
        <sz val="9"/>
        <color theme="0"/>
        <rFont val="Century Gothic"/>
        <family val="2"/>
      </rPr>
      <t>(annual to be converted to monthly)</t>
    </r>
  </si>
  <si>
    <r>
      <t xml:space="preserve">Minimun Saving
</t>
    </r>
    <r>
      <rPr>
        <sz val="9"/>
        <color theme="0"/>
        <rFont val="Century Gothic"/>
        <family val="2"/>
      </rPr>
      <t>(monthly)</t>
    </r>
  </si>
  <si>
    <t>Total savings to be made</t>
  </si>
  <si>
    <t>Total Amount Saved</t>
  </si>
  <si>
    <t>Formal &amp; Retial</t>
  </si>
  <si>
    <t>Informal</t>
  </si>
  <si>
    <t>Friends &amp; Family</t>
  </si>
  <si>
    <t>% of Income</t>
  </si>
  <si>
    <t>SL%</t>
  </si>
  <si>
    <t>Red</t>
  </si>
  <si>
    <t>0% to 35%</t>
  </si>
  <si>
    <t>Yellow</t>
  </si>
  <si>
    <t>35% to 70%</t>
  </si>
  <si>
    <t>Green</t>
  </si>
  <si>
    <t>70% to 100%</t>
  </si>
  <si>
    <t>Blank</t>
  </si>
  <si>
    <t>Overachieved</t>
  </si>
  <si>
    <t>Black Tax</t>
  </si>
  <si>
    <r>
      <rPr>
        <b/>
        <sz val="9"/>
        <color theme="1"/>
        <rFont val="Century Gothic"/>
        <family val="2"/>
      </rPr>
      <t xml:space="preserve">NET Income </t>
    </r>
    <r>
      <rPr>
        <sz val="9"/>
        <color theme="1"/>
        <rFont val="Century Gothic"/>
        <family val="2"/>
      </rPr>
      <t>(Income - Expenses)</t>
    </r>
  </si>
  <si>
    <t xml:space="preserve">Stationery </t>
  </si>
  <si>
    <t>Groceries</t>
  </si>
  <si>
    <t>Total Debt Paid</t>
  </si>
  <si>
    <t>ScoreCard</t>
  </si>
  <si>
    <t>Version 1 (created by: ASISA Foundation - February 2019) COPYRIGHT 2019-2022</t>
  </si>
  <si>
    <t>Actual_Expenses_Jan</t>
  </si>
  <si>
    <t>=Jan!$I$42:$I$52</t>
  </si>
  <si>
    <t>Actual_Income_Jan</t>
  </si>
  <si>
    <t>=Jan!$D$42:$D$49</t>
  </si>
  <si>
    <t>Actual_Perc_Goal</t>
  </si>
  <si>
    <t>='Savings and Investments'!$AB$24</t>
  </si>
  <si>
    <t>Actual_Perc_SavingInvestments</t>
  </si>
  <si>
    <t>='Savings and Investments'!$AD$24</t>
  </si>
  <si>
    <t>Annual_Payment_Friends_Family</t>
  </si>
  <si>
    <t>='Financial Scorecard'!$U$42:$U$46</t>
  </si>
  <si>
    <t>Annual_Payment_Informal</t>
  </si>
  <si>
    <t>='Financial Scorecard'!$U$34:$U$38</t>
  </si>
  <si>
    <t>Budgeted_Expenses_Jan</t>
  </si>
  <si>
    <t>=Jan!$H$42:$H$52</t>
  </si>
  <si>
    <t>Budgeted_Income_Jan</t>
  </si>
  <si>
    <t>=Jan!$C$42:$C$49</t>
  </si>
  <si>
    <t>Expense1_ActualJan</t>
  </si>
  <si>
    <t>=Jan!$I$42</t>
  </si>
  <si>
    <t>Expense1_BudgetJan</t>
  </si>
  <si>
    <t>=Jan!$H$42</t>
  </si>
  <si>
    <t>Expense10_ActualFeb</t>
  </si>
  <si>
    <t>=#REF!#REF!</t>
  </si>
  <si>
    <t>Expense10_ActualJan</t>
  </si>
  <si>
    <t>=Jan!$I$51</t>
  </si>
  <si>
    <t>Expense10_BudgetFeb</t>
  </si>
  <si>
    <t>Expense10_BudgetJan</t>
  </si>
  <si>
    <t>=Jan!$H$51</t>
  </si>
  <si>
    <t>Expense11_ActualFeb</t>
  </si>
  <si>
    <t>Expense11_ActualJan</t>
  </si>
  <si>
    <t>=Jan!$I$52</t>
  </si>
  <si>
    <t>Expense11_BudgetFeb</t>
  </si>
  <si>
    <t>Expense11_BudgetJan</t>
  </si>
  <si>
    <t>=Jan!$H$52</t>
  </si>
  <si>
    <t>Expense2_ActualJan</t>
  </si>
  <si>
    <t>=Jan!$I$43</t>
  </si>
  <si>
    <t>Expense2_BudgetJan</t>
  </si>
  <si>
    <t>=Jan!$H$43</t>
  </si>
  <si>
    <t>Expense3_ActualJan</t>
  </si>
  <si>
    <t>=Jan!$I$44</t>
  </si>
  <si>
    <t>Expense3_BudgetJan</t>
  </si>
  <si>
    <t>=Jan!$H$44</t>
  </si>
  <si>
    <t>Expense4_ActualJan</t>
  </si>
  <si>
    <t>=Jan!$I$45</t>
  </si>
  <si>
    <t>Expense4_BudgetJan</t>
  </si>
  <si>
    <t>=Jan!$H$45</t>
  </si>
  <si>
    <t>Expense5_ActualJan</t>
  </si>
  <si>
    <t>=Jan!$I$46</t>
  </si>
  <si>
    <t>Expense5_BudgetJan</t>
  </si>
  <si>
    <t>=Jan!$H$46</t>
  </si>
  <si>
    <t>Expense6_ActualFeb</t>
  </si>
  <si>
    <t>Expense6_ActualJan</t>
  </si>
  <si>
    <t>=Jan!$I$47</t>
  </si>
  <si>
    <t>Expense6_BudgetFeb</t>
  </si>
  <si>
    <t>Expense6_BudgetJan</t>
  </si>
  <si>
    <t>=Jan!$H$47</t>
  </si>
  <si>
    <t>Expense7_ActualFeb</t>
  </si>
  <si>
    <t>Expense7_ActualJan</t>
  </si>
  <si>
    <t>=Jan!$I$48</t>
  </si>
  <si>
    <t>Expense7_BudgetFeb</t>
  </si>
  <si>
    <t>Expense7_BudgetJan</t>
  </si>
  <si>
    <t>=Jan!$H$48</t>
  </si>
  <si>
    <t>Expense8_ActualFeb</t>
  </si>
  <si>
    <t>Expense8_ActualJan</t>
  </si>
  <si>
    <t>=Jan!$I$49</t>
  </si>
  <si>
    <t>Expense8_BudgetFeb</t>
  </si>
  <si>
    <t>Expense8_BudgetJan</t>
  </si>
  <si>
    <t>=Jan!$H$49</t>
  </si>
  <si>
    <t>Expense9_ActualJan</t>
  </si>
  <si>
    <t>=Jan!$I$50</t>
  </si>
  <si>
    <t>Expense9_BudgetJan</t>
  </si>
  <si>
    <t>=Jan!$H$50</t>
  </si>
  <si>
    <t>Expenses_Name_Feb</t>
  </si>
  <si>
    <t>Expenses_Name_Jan</t>
  </si>
  <si>
    <t>=Jan!$G$42:$H$52</t>
  </si>
  <si>
    <t>Family_and_Friend_Name_1</t>
  </si>
  <si>
    <t>='Financial Scorecard'!$B$42</t>
  </si>
  <si>
    <t>Family_and_Friend_Name_2</t>
  </si>
  <si>
    <t>='Financial Scorecard'!$B$43</t>
  </si>
  <si>
    <t>Family_and_Friend_Name_3</t>
  </si>
  <si>
    <t>='Financial Scorecard'!$B$44</t>
  </si>
  <si>
    <t>Family_and_Friend_Name_4</t>
  </si>
  <si>
    <t>='Financial Scorecard'!$B$45</t>
  </si>
  <si>
    <t>Family_and_Friend_Name_5</t>
  </si>
  <si>
    <t>='Financial Scorecard'!$B$46</t>
  </si>
  <si>
    <t>Family_Friends_InitialAmount_Owed_1</t>
  </si>
  <si>
    <t>='Financial Scorecard'!$C$42</t>
  </si>
  <si>
    <t>Family_Friends_InitialAmount_Owed_2</t>
  </si>
  <si>
    <t>='Financial Scorecard'!$C$43</t>
  </si>
  <si>
    <t>Family_Friends_InitialAmount_Owed_3</t>
  </si>
  <si>
    <t>='Financial Scorecard'!$C$44</t>
  </si>
  <si>
    <t>Family_Friends_InitialAmount_Owed_4</t>
  </si>
  <si>
    <t>='Financial Scorecard'!$C$45</t>
  </si>
  <si>
    <t>Family_Friends_InitialAmount_Owed_5</t>
  </si>
  <si>
    <t>='Financial Scorecard'!$C$46</t>
  </si>
  <si>
    <t>Financial_ScoreCard_Jan</t>
  </si>
  <si>
    <t>=Jan!$U$64</t>
  </si>
  <si>
    <t>FinScor_Apr_Friends_family</t>
  </si>
  <si>
    <t>='Financial Scorecard'!$K$42:$K$46</t>
  </si>
  <si>
    <t>FinScor_Apr_Informal</t>
  </si>
  <si>
    <t>='Financial Scorecard'!$K$34:$K$38</t>
  </si>
  <si>
    <t>FinScor_Aug_Friends_family</t>
  </si>
  <si>
    <t>='Financial Scorecard'!$O$42:$O$46</t>
  </si>
  <si>
    <t>FinScor_Aug_Informal</t>
  </si>
  <si>
    <t>='Financial Scorecard'!$O$34:$O$38</t>
  </si>
  <si>
    <t>FinScor_Dec_Friends_family</t>
  </si>
  <si>
    <t>='Financial Scorecard'!$S$42:$S$46</t>
  </si>
  <si>
    <t>FinScor_Dec_Informal</t>
  </si>
  <si>
    <t>='Financial Scorecard'!$S$34:$S$38</t>
  </si>
  <si>
    <t>FinScor_Feb_Friends_family</t>
  </si>
  <si>
    <t>='Financial Scorecard'!$I$42:$I$46</t>
  </si>
  <si>
    <t>FinScor_Feb_Informal</t>
  </si>
  <si>
    <t>='Financial Scorecard'!$I$34:$I$38</t>
  </si>
  <si>
    <t>FinScor_Jan_Friends_family</t>
  </si>
  <si>
    <t>='Financial Scorecard'!$H$42:$H$46</t>
  </si>
  <si>
    <t>FinScor_Jan_Informal</t>
  </si>
  <si>
    <t>='Financial Scorecard'!$H$34:$H$38</t>
  </si>
  <si>
    <t>FinScor_Jul_Friends_family</t>
  </si>
  <si>
    <t>='Financial Scorecard'!$N$42:$N$46</t>
  </si>
  <si>
    <t>FinScor_Jul_Informal</t>
  </si>
  <si>
    <t>='Financial Scorecard'!$N$34:$N$38</t>
  </si>
  <si>
    <t>FinScor_Jun_Friends_family</t>
  </si>
  <si>
    <t>='Financial Scorecard'!$M$42:$M$46</t>
  </si>
  <si>
    <t>FinScor_Jun_Informal</t>
  </si>
  <si>
    <t>='Financial Scorecard'!$M$34:$M$38</t>
  </si>
  <si>
    <t>FinScor_Mar_Friends_family</t>
  </si>
  <si>
    <t>='Financial Scorecard'!$J$42:$J$46</t>
  </si>
  <si>
    <t>FinScor_Mar_Informal</t>
  </si>
  <si>
    <t>='Financial Scorecard'!$J$34:$J$38</t>
  </si>
  <si>
    <t>FinScor_May_Friends_family</t>
  </si>
  <si>
    <t>='Financial Scorecard'!$L$42:$L$46</t>
  </si>
  <si>
    <t>FinScor_May_Informal</t>
  </si>
  <si>
    <t>='Financial Scorecard'!$L$34:$L$38</t>
  </si>
  <si>
    <t>FinScor_Nov_Friends_family</t>
  </si>
  <si>
    <t>='Financial Scorecard'!$R$42:$R$46</t>
  </si>
  <si>
    <t>FinScor_Nov_Informal</t>
  </si>
  <si>
    <t>='Financial Scorecard'!$R$34:$R$38</t>
  </si>
  <si>
    <t>FinScor_Oct_Friends_family</t>
  </si>
  <si>
    <t>='Financial Scorecard'!$Q$42:$Q$46</t>
  </si>
  <si>
    <t>FinScor_Oct_Informal</t>
  </si>
  <si>
    <t>='Financial Scorecard'!$Q$34:$Q$38</t>
  </si>
  <si>
    <t>FinScor_Sep_Friends_family</t>
  </si>
  <si>
    <t>='Financial Scorecard'!$P$42:$P$46</t>
  </si>
  <si>
    <t>FinScor_Sep_Informal</t>
  </si>
  <si>
    <t>='Financial Scorecard'!$P$34:$P$38</t>
  </si>
  <si>
    <t>Formal__Annual_Interest_1</t>
  </si>
  <si>
    <t>Formal__Annual_Interest_2</t>
  </si>
  <si>
    <t>Formal__Annual_Interest_3</t>
  </si>
  <si>
    <t>Formal__Annual_Interest_4</t>
  </si>
  <si>
    <t>Formal__Annual_Interest_5</t>
  </si>
  <si>
    <t>Formal__Annual_Interest_6</t>
  </si>
  <si>
    <t>Formal__Annual_Interest_7</t>
  </si>
  <si>
    <t>Formal__Annual_Interest_8</t>
  </si>
  <si>
    <t>='Financial Scorecard'!$H$23:$S$23</t>
  </si>
  <si>
    <t>='Financial Scorecard'!$H$24:$S$24</t>
  </si>
  <si>
    <t>='Financial Scorecard'!$H$25:$S$25</t>
  </si>
  <si>
    <t>='Financial Scorecard'!$H$26:$S$26</t>
  </si>
  <si>
    <t>='Financial Scorecard'!$H$27:$S$27</t>
  </si>
  <si>
    <t>='Financial Scorecard'!$H$28:$S$28</t>
  </si>
  <si>
    <t>='Financial Scorecard'!$H$29:$S$29</t>
  </si>
  <si>
    <t>='Financial Scorecard'!$H$30:$S$30</t>
  </si>
  <si>
    <t>='Financial Scorecard'!$Y$26</t>
  </si>
  <si>
    <t>Formal_Balance_Feb</t>
  </si>
  <si>
    <t>Formal_Interest</t>
  </si>
  <si>
    <t>='Financial Scorecard'!$D$23:$D$30</t>
  </si>
  <si>
    <t>='Financial Scorecard'!$G$23</t>
  </si>
  <si>
    <t>='Financial Scorecard'!$G$24</t>
  </si>
  <si>
    <t>='Financial Scorecard'!$G$25</t>
  </si>
  <si>
    <t>='Financial Scorecard'!$G$26</t>
  </si>
  <si>
    <t>='Financial Scorecard'!$G$27</t>
  </si>
  <si>
    <t>='Financial Scorecard'!$G$28</t>
  </si>
  <si>
    <t>='Financial Scorecard'!$G$29</t>
  </si>
  <si>
    <t>='Financial Scorecard'!$G$30</t>
  </si>
  <si>
    <t>formal_Payment_Term</t>
  </si>
  <si>
    <t>Formal_Retail_MonthlySavings_Apr_1</t>
  </si>
  <si>
    <t>='Financial Scorecard'!$K$23</t>
  </si>
  <si>
    <t>Formal_Retail_MonthlySavings_Apr_2</t>
  </si>
  <si>
    <t>='Financial Scorecard'!$K$24</t>
  </si>
  <si>
    <t>Formal_Retail_MonthlySavings_Apr_3</t>
  </si>
  <si>
    <t>='Financial Scorecard'!$K$25</t>
  </si>
  <si>
    <t>Formal_Retail_MonthlySavings_Apr_4</t>
  </si>
  <si>
    <t>='Financial Scorecard'!$K$26</t>
  </si>
  <si>
    <t>Formal_Retail_MonthlySavings_Apr_5</t>
  </si>
  <si>
    <t>='Financial Scorecard'!$K$27</t>
  </si>
  <si>
    <t>Formal_Retail_MonthlySavings_Apr_6</t>
  </si>
  <si>
    <t>='Financial Scorecard'!$K$28</t>
  </si>
  <si>
    <t>Formal_Retail_MonthlySavings_Apr_7</t>
  </si>
  <si>
    <t>='Financial Scorecard'!$K$29</t>
  </si>
  <si>
    <t>Formal_Retail_MonthlySavings_Apr_8</t>
  </si>
  <si>
    <t>='Financial Scorecard'!$K$30</t>
  </si>
  <si>
    <t>Formal_Retail_MonthlySavings_Aug_1</t>
  </si>
  <si>
    <t>='Financial Scorecard'!$O$23</t>
  </si>
  <si>
    <t>Formal_Retail_MonthlySavings_Aug_2</t>
  </si>
  <si>
    <t>='Financial Scorecard'!$O$24</t>
  </si>
  <si>
    <t>Formal_Retail_MonthlySavings_Aug_3</t>
  </si>
  <si>
    <t>='Financial Scorecard'!$O$25</t>
  </si>
  <si>
    <t>Formal_Retail_MonthlySavings_Aug_4</t>
  </si>
  <si>
    <t>='Financial Scorecard'!$O$26</t>
  </si>
  <si>
    <t>Formal_Retail_MonthlySavings_Aug_5</t>
  </si>
  <si>
    <t>='Financial Scorecard'!$O$27</t>
  </si>
  <si>
    <t>Formal_Retail_MonthlySavings_Aug_6</t>
  </si>
  <si>
    <t>='Financial Scorecard'!$O$28</t>
  </si>
  <si>
    <t>Formal_Retail_MonthlySavings_Aug_7</t>
  </si>
  <si>
    <t>='Financial Scorecard'!$O$29</t>
  </si>
  <si>
    <t>Formal_Retail_MonthlySavings_Aug_8</t>
  </si>
  <si>
    <t>='Financial Scorecard'!$O$30</t>
  </si>
  <si>
    <t>Formal_Retail_MonthlySavings_Dec_1</t>
  </si>
  <si>
    <t>Formal_Retail_MonthlySavings_Dec_2</t>
  </si>
  <si>
    <t>Formal_Retail_MonthlySavings_Dec_3</t>
  </si>
  <si>
    <t>Formal_Retail_MonthlySavings_Dec_4</t>
  </si>
  <si>
    <t>Formal_Retail_MonthlySavings_Dec_5</t>
  </si>
  <si>
    <t>Formal_Retail_MonthlySavings_Dec_6</t>
  </si>
  <si>
    <t>Formal_Retail_MonthlySavings_Dec_7</t>
  </si>
  <si>
    <t>Formal_Retail_MonthlySavings_Dec_8</t>
  </si>
  <si>
    <t>Formal_Retail_MonthlySavings_Feb_1</t>
  </si>
  <si>
    <t>='Financial Scorecard'!$I$23</t>
  </si>
  <si>
    <t>Formal_Retail_MonthlySavings_Feb_2</t>
  </si>
  <si>
    <t>='Financial Scorecard'!$I$24</t>
  </si>
  <si>
    <t>Formal_Retail_MonthlySavings_Feb_3</t>
  </si>
  <si>
    <t>='Financial Scorecard'!$I$25</t>
  </si>
  <si>
    <t>Formal_Retail_MonthlySavings_Feb_4</t>
  </si>
  <si>
    <t>='Financial Scorecard'!$I$26</t>
  </si>
  <si>
    <t>Formal_Retail_MonthlySavings_Feb_5</t>
  </si>
  <si>
    <t>='Financial Scorecard'!$I$27</t>
  </si>
  <si>
    <t>Formal_Retail_MonthlySavings_Feb_6</t>
  </si>
  <si>
    <t>='Financial Scorecard'!$I$28</t>
  </si>
  <si>
    <t>Formal_Retail_MonthlySavings_Feb_7</t>
  </si>
  <si>
    <t>='Financial Scorecard'!$I$29</t>
  </si>
  <si>
    <t>Formal_Retail_MonthlySavings_Feb_8</t>
  </si>
  <si>
    <t>='Financial Scorecard'!$I$30</t>
  </si>
  <si>
    <t>Formal_Retail_MonthlySavings_Jan_1</t>
  </si>
  <si>
    <t>='Financial Scorecard'!$H$23</t>
  </si>
  <si>
    <t>Formal_Retail_MonthlySavings_Jan_2</t>
  </si>
  <si>
    <t>='Financial Scorecard'!$H$24</t>
  </si>
  <si>
    <t>Formal_Retail_MonthlySavings_Jan_3</t>
  </si>
  <si>
    <t>='Financial Scorecard'!$H$25</t>
  </si>
  <si>
    <t>Formal_Retail_MonthlySavings_Jan_4</t>
  </si>
  <si>
    <t>='Financial Scorecard'!$H$26</t>
  </si>
  <si>
    <t>Formal_Retail_MonthlySavings_Jan_5</t>
  </si>
  <si>
    <t>='Financial Scorecard'!$H$27</t>
  </si>
  <si>
    <t>Formal_Retail_MonthlySavings_Jan_6</t>
  </si>
  <si>
    <t>='Financial Scorecard'!$H$28</t>
  </si>
  <si>
    <t>Formal_Retail_MonthlySavings_Jan_7</t>
  </si>
  <si>
    <t>='Financial Scorecard'!$H$29</t>
  </si>
  <si>
    <t>Formal_Retail_MonthlySavings_Jan_8</t>
  </si>
  <si>
    <t>='Financial Scorecard'!$H$30</t>
  </si>
  <si>
    <t>Formal_Retail_MonthlySavings_Jul_1</t>
  </si>
  <si>
    <t>='Financial Scorecard'!$N$23</t>
  </si>
  <si>
    <t>Formal_Retail_MonthlySavings_Jul_2</t>
  </si>
  <si>
    <t>='Financial Scorecard'!$N$24</t>
  </si>
  <si>
    <t>Formal_Retail_MonthlySavings_Jul_3</t>
  </si>
  <si>
    <t>='Financial Scorecard'!$N$25</t>
  </si>
  <si>
    <t>Formal_Retail_MonthlySavings_Jul_4</t>
  </si>
  <si>
    <t>='Financial Scorecard'!$N$26</t>
  </si>
  <si>
    <t>Formal_Retail_MonthlySavings_Jul_5</t>
  </si>
  <si>
    <t>='Financial Scorecard'!$N$27</t>
  </si>
  <si>
    <t>Formal_Retail_MonthlySavings_Jul_6</t>
  </si>
  <si>
    <t>='Financial Scorecard'!$N$28</t>
  </si>
  <si>
    <t>Formal_Retail_MonthlySavings_Jul_7</t>
  </si>
  <si>
    <t>='Financial Scorecard'!$N$29</t>
  </si>
  <si>
    <t>Formal_Retail_MonthlySavings_Jul_8</t>
  </si>
  <si>
    <t>='Financial Scorecard'!$N$30</t>
  </si>
  <si>
    <t>Formal_Retail_MonthlySavings_Jun_1</t>
  </si>
  <si>
    <t>='Financial Scorecard'!$M$23</t>
  </si>
  <si>
    <t>Formal_Retail_MonthlySavings_Jun_2</t>
  </si>
  <si>
    <t>='Financial Scorecard'!$M$24</t>
  </si>
  <si>
    <t>Formal_Retail_MonthlySavings_Jun_3</t>
  </si>
  <si>
    <t>='Financial Scorecard'!$M$25</t>
  </si>
  <si>
    <t>Formal_Retail_MonthlySavings_Jun_4</t>
  </si>
  <si>
    <t>='Financial Scorecard'!$M$26</t>
  </si>
  <si>
    <t>Formal_Retail_MonthlySavings_Jun_5</t>
  </si>
  <si>
    <t>='Financial Scorecard'!$M$27</t>
  </si>
  <si>
    <t>Formal_Retail_MonthlySavings_Jun_6</t>
  </si>
  <si>
    <t>='Financial Scorecard'!$M$28</t>
  </si>
  <si>
    <t>Formal_Retail_MonthlySavings_Jun_7</t>
  </si>
  <si>
    <t>='Financial Scorecard'!$M$29</t>
  </si>
  <si>
    <t>Formal_Retail_MonthlySavings_Jun_8</t>
  </si>
  <si>
    <t>='Financial Scorecard'!$M$30</t>
  </si>
  <si>
    <t>Formal_Retail_MonthlySavings_Mar_1</t>
  </si>
  <si>
    <t>='Financial Scorecard'!$J$23</t>
  </si>
  <si>
    <t>Formal_Retail_MonthlySavings_Mar_2</t>
  </si>
  <si>
    <t>='Financial Scorecard'!$J$24</t>
  </si>
  <si>
    <t>Formal_Retail_MonthlySavings_Mar_3</t>
  </si>
  <si>
    <t>='Financial Scorecard'!$J$25</t>
  </si>
  <si>
    <t>Formal_Retail_MonthlySavings_Mar_4</t>
  </si>
  <si>
    <t>='Financial Scorecard'!$J$26</t>
  </si>
  <si>
    <t>Formal_Retail_MonthlySavings_Mar_5</t>
  </si>
  <si>
    <t>='Financial Scorecard'!$J$27</t>
  </si>
  <si>
    <t>Formal_Retail_MonthlySavings_Mar_6</t>
  </si>
  <si>
    <t>='Financial Scorecard'!$J$28</t>
  </si>
  <si>
    <t>Formal_Retail_MonthlySavings_Mar_7</t>
  </si>
  <si>
    <t>='Financial Scorecard'!$J$29</t>
  </si>
  <si>
    <t>Formal_Retail_MonthlySavings_Mar_8</t>
  </si>
  <si>
    <t>='Financial Scorecard'!$J$30</t>
  </si>
  <si>
    <t>Formal_Retail_MonthlySavings_May_1</t>
  </si>
  <si>
    <t>='Financial Scorecard'!$L$23</t>
  </si>
  <si>
    <t>Formal_Retail_MonthlySavings_May_2</t>
  </si>
  <si>
    <t>='Financial Scorecard'!$L$24</t>
  </si>
  <si>
    <t>Formal_Retail_MonthlySavings_May_3</t>
  </si>
  <si>
    <t>='Financial Scorecard'!$L$25</t>
  </si>
  <si>
    <t>Formal_Retail_MonthlySavings_May_4</t>
  </si>
  <si>
    <t>='Financial Scorecard'!$L$26</t>
  </si>
  <si>
    <t>Formal_Retail_MonthlySavings_May_5</t>
  </si>
  <si>
    <t>='Financial Scorecard'!$L$27</t>
  </si>
  <si>
    <t>Formal_Retail_MonthlySavings_May_6</t>
  </si>
  <si>
    <t>='Financial Scorecard'!$L$28</t>
  </si>
  <si>
    <t>Formal_Retail_MonthlySavings_May_7</t>
  </si>
  <si>
    <t>='Financial Scorecard'!$L$29</t>
  </si>
  <si>
    <t>Formal_Retail_MonthlySavings_May_8</t>
  </si>
  <si>
    <t>='Financial Scorecard'!$L$30</t>
  </si>
  <si>
    <t>Formal_Retail_MonthlySavings_Nov_1</t>
  </si>
  <si>
    <t>='Financial Scorecard'!$R$23</t>
  </si>
  <si>
    <t>Formal_Retail_MonthlySavings_Nov_2</t>
  </si>
  <si>
    <t>='Financial Scorecard'!$R$24</t>
  </si>
  <si>
    <t>Formal_Retail_MonthlySavings_Nov_3</t>
  </si>
  <si>
    <t>='Financial Scorecard'!$R$25</t>
  </si>
  <si>
    <t>Formal_Retail_MonthlySavings_Nov_4</t>
  </si>
  <si>
    <t>='Financial Scorecard'!$R$26</t>
  </si>
  <si>
    <t>Formal_Retail_MonthlySavings_Nov_5</t>
  </si>
  <si>
    <t>='Financial Scorecard'!$R$27</t>
  </si>
  <si>
    <t>Formal_Retail_MonthlySavings_Nov_6</t>
  </si>
  <si>
    <t>='Financial Scorecard'!$R$28</t>
  </si>
  <si>
    <t>Formal_Retail_MonthlySavings_Nov_7</t>
  </si>
  <si>
    <t>='Financial Scorecard'!$R$29</t>
  </si>
  <si>
    <t>Formal_Retail_MonthlySavings_Nov_8</t>
  </si>
  <si>
    <t>='Financial Scorecard'!$R$30</t>
  </si>
  <si>
    <t>Formal_Retail_MonthlySavings_Oct_1</t>
  </si>
  <si>
    <t>='Financial Scorecard'!$Q$23</t>
  </si>
  <si>
    <t>Formal_Retail_MonthlySavings_Oct_2</t>
  </si>
  <si>
    <t>='Financial Scorecard'!$Q$24</t>
  </si>
  <si>
    <t>Formal_Retail_MonthlySavings_Oct_3</t>
  </si>
  <si>
    <t>='Financial Scorecard'!$Q$25</t>
  </si>
  <si>
    <t>Formal_Retail_MonthlySavings_Oct_4</t>
  </si>
  <si>
    <t>='Financial Scorecard'!$Q$26</t>
  </si>
  <si>
    <t>Formal_Retail_MonthlySavings_Oct_5</t>
  </si>
  <si>
    <t>='Financial Scorecard'!$Q$27</t>
  </si>
  <si>
    <t>Formal_Retail_MonthlySavings_Oct_6</t>
  </si>
  <si>
    <t>='Financial Scorecard'!$Q$28</t>
  </si>
  <si>
    <t>Formal_Retail_MonthlySavings_Oct_7</t>
  </si>
  <si>
    <t>='Financial Scorecard'!$Q$29</t>
  </si>
  <si>
    <t>Formal_Retail_MonthlySavings_Oct_8</t>
  </si>
  <si>
    <t>='Financial Scorecard'!$Q$30</t>
  </si>
  <si>
    <t>Formal_Retail_MonthlySavings_Sep_1</t>
  </si>
  <si>
    <t>='Financial Scorecard'!$P$23</t>
  </si>
  <si>
    <t>Formal_Retail_MonthlySavings_Sep_2</t>
  </si>
  <si>
    <t>='Financial Scorecard'!$P$24</t>
  </si>
  <si>
    <t>Formal_Retail_MonthlySavings_Sep_3</t>
  </si>
  <si>
    <t>='Financial Scorecard'!$P$25</t>
  </si>
  <si>
    <t>Formal_Retail_MonthlySavings_Sep_4</t>
  </si>
  <si>
    <t>='Financial Scorecard'!$P$26</t>
  </si>
  <si>
    <t>Formal_Retail_MonthlySavings_Sep_5</t>
  </si>
  <si>
    <t>='Financial Scorecard'!$P$27</t>
  </si>
  <si>
    <t>Formal_Retail_MonthlySavings_Sep_6</t>
  </si>
  <si>
    <t>='Financial Scorecard'!$P$28</t>
  </si>
  <si>
    <t>Formal_Retail_MonthlySavings_Sep_7</t>
  </si>
  <si>
    <t>='Financial Scorecard'!$P$29</t>
  </si>
  <si>
    <t>Formal_Retail_MonthlySavings_Sep_8</t>
  </si>
  <si>
    <t>='Financial Scorecard'!$P$30</t>
  </si>
  <si>
    <t>='Financial Scorecard'!$H$31:$S$31</t>
  </si>
  <si>
    <t>='Financial Scorecard'!$X$31</t>
  </si>
  <si>
    <t>='Financial Scorecard'!$X$23</t>
  </si>
  <si>
    <t>='Financial Scorecard'!$X$24</t>
  </si>
  <si>
    <t>='Financial Scorecard'!$X$25</t>
  </si>
  <si>
    <t>='Financial Scorecard'!$X$27</t>
  </si>
  <si>
    <t>='Financial Scorecard'!$X$28</t>
  </si>
  <si>
    <t>='Financial Scorecard'!$X$29</t>
  </si>
  <si>
    <t>='Financial Scorecard'!$X$30</t>
  </si>
  <si>
    <t>Friends_family_1_payment</t>
  </si>
  <si>
    <t>='Financial Scorecard'!$H$42:$S$42</t>
  </si>
  <si>
    <t>Friends_family_2_payment</t>
  </si>
  <si>
    <t>='Financial Scorecard'!$H$43:$S$43</t>
  </si>
  <si>
    <t>Friends_family_3_payment</t>
  </si>
  <si>
    <t>='Financial Scorecard'!$H$44:$S$44</t>
  </si>
  <si>
    <t>Friends_family_4_payment</t>
  </si>
  <si>
    <t>='Financial Scorecard'!$H$45:$S$45</t>
  </si>
  <si>
    <t>Friends_family_5_payment</t>
  </si>
  <si>
    <t>='Financial Scorecard'!$H$46:$S$46</t>
  </si>
  <si>
    <t>Friends_family_Annual_Payment</t>
  </si>
  <si>
    <t>='Financial Scorecard'!$U$47</t>
  </si>
  <si>
    <t>Friends_family_Annual_Payment_1</t>
  </si>
  <si>
    <t>='Financial Scorecard'!$U$42</t>
  </si>
  <si>
    <t>Friends_family_Annual_Payment_2</t>
  </si>
  <si>
    <t>='Financial Scorecard'!$U$43</t>
  </si>
  <si>
    <t>Friends_family_Annual_Payment_3</t>
  </si>
  <si>
    <t>='Financial Scorecard'!$U$44</t>
  </si>
  <si>
    <t>Friends_family_Annual_Payment_4</t>
  </si>
  <si>
    <t>='Financial Scorecard'!$U$45</t>
  </si>
  <si>
    <t>Friends_family_Annual_Payment_5</t>
  </si>
  <si>
    <t>='Financial Scorecard'!$U$46</t>
  </si>
  <si>
    <t>Friends_family_Apr_SubTotal</t>
  </si>
  <si>
    <t>='Financial Scorecard'!$K$47</t>
  </si>
  <si>
    <t>Friends_family_Aug_SubTotal</t>
  </si>
  <si>
    <t>='Financial Scorecard'!$O$47</t>
  </si>
  <si>
    <t>Friends_family_Balance</t>
  </si>
  <si>
    <t>='Financial Scorecard'!$Y$45</t>
  </si>
  <si>
    <t>Friends_family_Balance_Feb</t>
  </si>
  <si>
    <t>Friends_family_Dec_SubTotal</t>
  </si>
  <si>
    <t>='Financial Scorecard'!$S$47</t>
  </si>
  <si>
    <t>Friends_family_Feb_SubTotal</t>
  </si>
  <si>
    <t>='Financial Scorecard'!$I$47</t>
  </si>
  <si>
    <t>Friends_family_IAO</t>
  </si>
  <si>
    <t>='Financial Scorecard'!$C$47</t>
  </si>
  <si>
    <t>Friends_family_Interest</t>
  </si>
  <si>
    <t>='Financial Scorecard'!$D$42:$D$46</t>
  </si>
  <si>
    <t>Friends_family_Interest_1</t>
  </si>
  <si>
    <t>='Financial Scorecard'!$D$42</t>
  </si>
  <si>
    <t>Friends_family_Interest_2</t>
  </si>
  <si>
    <t>='Financial Scorecard'!$D$43</t>
  </si>
  <si>
    <t>Friends_family_Interest_3</t>
  </si>
  <si>
    <t>='Financial Scorecard'!$D$44</t>
  </si>
  <si>
    <t>Friends_family_Interest_4</t>
  </si>
  <si>
    <t>='Financial Scorecard'!$D$45</t>
  </si>
  <si>
    <t>Friends_family_Interest_5</t>
  </si>
  <si>
    <t>='Financial Scorecard'!$D$46</t>
  </si>
  <si>
    <t>Friends_family_Jan_SubTotal</t>
  </si>
  <si>
    <t>='Financial Scorecard'!$H$47</t>
  </si>
  <si>
    <t>Friends_family_Jul_SubTotal</t>
  </si>
  <si>
    <t>='Financial Scorecard'!$N$47</t>
  </si>
  <si>
    <t>Friends_family_Jun_SubTotal</t>
  </si>
  <si>
    <t>='Financial Scorecard'!$M$47</t>
  </si>
  <si>
    <t>Friends_family_Mar_SubTotal</t>
  </si>
  <si>
    <t>='Financial Scorecard'!$J$47</t>
  </si>
  <si>
    <t>Friends_family_May_SubTotal</t>
  </si>
  <si>
    <t>='Financial Scorecard'!$L$47</t>
  </si>
  <si>
    <t>Friends_family_MI</t>
  </si>
  <si>
    <t>='Financial Scorecard'!$G$47</t>
  </si>
  <si>
    <t>Friends_family_Minimum_Installment_1</t>
  </si>
  <si>
    <t>='Financial Scorecard'!$G$42</t>
  </si>
  <si>
    <t>Friends_family_Minimum_Installment_2</t>
  </si>
  <si>
    <t>='Financial Scorecard'!$G$43</t>
  </si>
  <si>
    <t>Friends_family_Minimum_Installment_3</t>
  </si>
  <si>
    <t>='Financial Scorecard'!$G$44</t>
  </si>
  <si>
    <t>Friends_family_Minimum_Installment_4</t>
  </si>
  <si>
    <t>='Financial Scorecard'!$G$45</t>
  </si>
  <si>
    <t>Friends_family_Minimum_Installment_5</t>
  </si>
  <si>
    <t>='Financial Scorecard'!$G$46</t>
  </si>
  <si>
    <t>Friends_family_Minimum_Installments</t>
  </si>
  <si>
    <t>='Financial Scorecard'!$G$42:$G$46</t>
  </si>
  <si>
    <t>Friends_family_Nov_SubTotal</t>
  </si>
  <si>
    <t>='Financial Scorecard'!$R$47</t>
  </si>
  <si>
    <t>Friends_family_Oct_SubTotal</t>
  </si>
  <si>
    <t>='Financial Scorecard'!$Q$47</t>
  </si>
  <si>
    <t>Friends_Family_Payment_Terms</t>
  </si>
  <si>
    <t>='Financial Scorecard'!$F$42:$F$46</t>
  </si>
  <si>
    <t>Friends_family_PaymentTerm_1</t>
  </si>
  <si>
    <t>='Financial Scorecard'!$F$42</t>
  </si>
  <si>
    <t>Friends_family_PaymentTerm_2</t>
  </si>
  <si>
    <t>='Financial Scorecard'!$F$43</t>
  </si>
  <si>
    <t>Friends_family_PaymentTerm_3</t>
  </si>
  <si>
    <t>='Financial Scorecard'!$F$44</t>
  </si>
  <si>
    <t>Friends_family_PaymentTerm_4</t>
  </si>
  <si>
    <t>='Financial Scorecard'!$F$45</t>
  </si>
  <si>
    <t>Friends_family_PaymentTerm_5</t>
  </si>
  <si>
    <t>='Financial Scorecard'!$F$46</t>
  </si>
  <si>
    <t>Friends_family_perc_To_Goal_1</t>
  </si>
  <si>
    <t>='Financial Scorecard'!$T$42</t>
  </si>
  <si>
    <t>Friends_family_perc_To_Goal_2</t>
  </si>
  <si>
    <t>='Financial Scorecard'!$T$43</t>
  </si>
  <si>
    <t>Friends_family_perc_To_Goal_3</t>
  </si>
  <si>
    <t>='Financial Scorecard'!$T$44</t>
  </si>
  <si>
    <t>Friends_family_perc_To_Goal_4</t>
  </si>
  <si>
    <t>='Financial Scorecard'!$T$45</t>
  </si>
  <si>
    <t>Friends_family_perc_To_Goal_5</t>
  </si>
  <si>
    <t>='Financial Scorecard'!$T$46</t>
  </si>
  <si>
    <t>Friends_family_Sep_SubTotal</t>
  </si>
  <si>
    <t>='Financial Scorecard'!$P$47</t>
  </si>
  <si>
    <t>Friends_family_SubTotals</t>
  </si>
  <si>
    <t>='Financial Scorecard'!$H$47:$S$47</t>
  </si>
  <si>
    <t>Friends_family_TAP</t>
  </si>
  <si>
    <t>='Financial Scorecard'!$X$47</t>
  </si>
  <si>
    <t>Friends_family_TAP_1</t>
  </si>
  <si>
    <t>='Financial Scorecard'!$X$42</t>
  </si>
  <si>
    <t>Friends_family_TAP_2</t>
  </si>
  <si>
    <t>='Financial Scorecard'!$X$43</t>
  </si>
  <si>
    <t>Friends_family_TAP_3</t>
  </si>
  <si>
    <t>='Financial Scorecard'!$X$44</t>
  </si>
  <si>
    <t>Friends_family_TAP_4</t>
  </si>
  <si>
    <t>='Financial Scorecard'!$X$45</t>
  </si>
  <si>
    <t>Friends_family_TAP_5</t>
  </si>
  <si>
    <t>='Financial Scorecard'!$X$46</t>
  </si>
  <si>
    <t>Friends_family_TATBP_1</t>
  </si>
  <si>
    <t>='Financial Scorecard'!$V$42</t>
  </si>
  <si>
    <t>Friends_family_TATBP_2</t>
  </si>
  <si>
    <t>='Financial Scorecard'!$V$43</t>
  </si>
  <si>
    <t>Friends_family_TATBP_3</t>
  </si>
  <si>
    <t>='Financial Scorecard'!$V$44</t>
  </si>
  <si>
    <t>Friends_family_TATBP_4</t>
  </si>
  <si>
    <t>='Financial Scorecard'!$V$45</t>
  </si>
  <si>
    <t>Friends_family_TATBP_5</t>
  </si>
  <si>
    <t>='Financial Scorecard'!$V$46</t>
  </si>
  <si>
    <t>Friends_family_TCC</t>
  </si>
  <si>
    <t>='Financial Scorecard'!$W$47</t>
  </si>
  <si>
    <t>Friends_family_TCC_1</t>
  </si>
  <si>
    <t>='Financial Scorecard'!$W$42</t>
  </si>
  <si>
    <t>Friends_family_TCC_2</t>
  </si>
  <si>
    <t>='Financial Scorecard'!$W$43</t>
  </si>
  <si>
    <t>Friends_family_TCC_3</t>
  </si>
  <si>
    <t>='Financial Scorecard'!$W$44</t>
  </si>
  <si>
    <t>Friends_family_TCC_4</t>
  </si>
  <si>
    <t>='Financial Scorecard'!$W$45</t>
  </si>
  <si>
    <t>Friends_family_TCC_5</t>
  </si>
  <si>
    <t>='Financial Scorecard'!$W$46</t>
  </si>
  <si>
    <t>Friends_family_Total_perc_To_Goal</t>
  </si>
  <si>
    <t>='Financial Scorecard'!$T$47</t>
  </si>
  <si>
    <t>Friends_family_TotalAmount_To_be_paid</t>
  </si>
  <si>
    <t>='Financial Scorecard'!$V$47</t>
  </si>
  <si>
    <t>FriendsFamily__Annual_Interest_1</t>
  </si>
  <si>
    <t>='Financial Scorecard'!$E$42</t>
  </si>
  <si>
    <t>FriendsFamily__Annual_Interest_2</t>
  </si>
  <si>
    <t>='Financial Scorecard'!$E$43</t>
  </si>
  <si>
    <t>FriendsFamily__Annual_Interest_3</t>
  </si>
  <si>
    <t>='Financial Scorecard'!$E$44</t>
  </si>
  <si>
    <t>FriendsFamily__Annual_Interest_4</t>
  </si>
  <si>
    <t>='Financial Scorecard'!$E$45</t>
  </si>
  <si>
    <t>FriendsFamily__Annual_Interest_5</t>
  </si>
  <si>
    <t>='Financial Scorecard'!$E$46</t>
  </si>
  <si>
    <t>Goal_Amount_Total</t>
  </si>
  <si>
    <t>='Savings and Investments'!$C$23:$C$26</t>
  </si>
  <si>
    <t>Goal_AnnualInterest</t>
  </si>
  <si>
    <t>='Savings and Investments'!$G$23:$G$26</t>
  </si>
  <si>
    <t>Goal_GA</t>
  </si>
  <si>
    <t>='Savings and Investments'!$C$27</t>
  </si>
  <si>
    <t>Goal_toPercentage</t>
  </si>
  <si>
    <t>='Savings and Investments'!$T$23:$T$26</t>
  </si>
  <si>
    <t>Goals_1_Monthly_Savings</t>
  </si>
  <si>
    <t>='Savings and Investments'!$H$23:$S$23</t>
  </si>
  <si>
    <t>Goals_1_Savings</t>
  </si>
  <si>
    <t>='Savings and Investments'!$I$23:$S$23</t>
  </si>
  <si>
    <t>Goals_2_Monthly_Savings</t>
  </si>
  <si>
    <t>='Savings and Investments'!$H$24:$S$24</t>
  </si>
  <si>
    <t>Goals_3_Monthly_Savings</t>
  </si>
  <si>
    <t>='Savings and Investments'!$H$25:$S$25</t>
  </si>
  <si>
    <t>Goals_4_Monthly_Savings</t>
  </si>
  <si>
    <t>='Savings and Investments'!$H$26:$S$26</t>
  </si>
  <si>
    <t>Goals_AnnualSavings</t>
  </si>
  <si>
    <t>='Savings and Investments'!$U$23:$U$26</t>
  </si>
  <si>
    <t>Goals_Apr_SubTotal</t>
  </si>
  <si>
    <t>='Savings and Investments'!$K$27</t>
  </si>
  <si>
    <t>Goals_AprSavings</t>
  </si>
  <si>
    <t>='Savings and Investments'!$K$23:$K$26</t>
  </si>
  <si>
    <t>Goals_Aug_SubTotal</t>
  </si>
  <si>
    <t>='Savings and Investments'!$O$27</t>
  </si>
  <si>
    <t>Goals_AugSavings</t>
  </si>
  <si>
    <t>='Savings and Investments'!$O$23:$O$26</t>
  </si>
  <si>
    <t>Goals_Dec_SubTotal</t>
  </si>
  <si>
    <t>='Savings and Investments'!$S$27</t>
  </si>
  <si>
    <t>Goals_DecSavings</t>
  </si>
  <si>
    <t>='Savings and Investments'!$S$23:$S$26</t>
  </si>
  <si>
    <t>Goals_Feb_Dashboard</t>
  </si>
  <si>
    <t>Goals_Feb_SubTotal</t>
  </si>
  <si>
    <t>='Savings and Investments'!$I$27</t>
  </si>
  <si>
    <t>Goals_FebSavings</t>
  </si>
  <si>
    <t>='Savings and Investments'!$I$23:$I$26</t>
  </si>
  <si>
    <t>Goals_Interest</t>
  </si>
  <si>
    <t>='Savings and Investments'!$F$23:$F$26</t>
  </si>
  <si>
    <t>Goals_Jan_Dashboard</t>
  </si>
  <si>
    <t>=Jan!$L$42:$O$42</t>
  </si>
  <si>
    <t>Goals_Jan_SubTotal</t>
  </si>
  <si>
    <t>='Savings and Investments'!$H$27</t>
  </si>
  <si>
    <t>Goals_JanSavings</t>
  </si>
  <si>
    <t>='Savings and Investments'!$H$23:$H$26</t>
  </si>
  <si>
    <t>Goals_Jul_SubTotal</t>
  </si>
  <si>
    <t>='Savings and Investments'!$N$27</t>
  </si>
  <si>
    <t>Goals_JulSavings</t>
  </si>
  <si>
    <t>='Savings and Investments'!$N$23:$N$26</t>
  </si>
  <si>
    <t>Goals_Jun_SubTotal</t>
  </si>
  <si>
    <t>='Savings and Investments'!$M$27</t>
  </si>
  <si>
    <t>Goals_JunSavings</t>
  </si>
  <si>
    <t>='Savings and Investments'!$M$23:$M$26</t>
  </si>
  <si>
    <t>Goals_Mar_SubTotal</t>
  </si>
  <si>
    <t>='Savings and Investments'!$J$27</t>
  </si>
  <si>
    <t>Goals_MarSavings</t>
  </si>
  <si>
    <t>='Savings and Investments'!$J$23:$J$26</t>
  </si>
  <si>
    <t>Goals_May_SubTotal</t>
  </si>
  <si>
    <t>='Savings and Investments'!$L$27</t>
  </si>
  <si>
    <t>Goals_MaySavings</t>
  </si>
  <si>
    <t>='Savings and Investments'!$L$23:$L$26</t>
  </si>
  <si>
    <t>Goals_MinSavings</t>
  </si>
  <si>
    <t>='Savings and Investments'!$E$23:$E$26</t>
  </si>
  <si>
    <t>Goals_Nov_SubTotal</t>
  </si>
  <si>
    <t>='Savings and Investments'!$R$27</t>
  </si>
  <si>
    <t>Goals_NovSavings</t>
  </si>
  <si>
    <t>='Savings and Investments'!$R$23:$R$26</t>
  </si>
  <si>
    <t>Goals_Oct_SubTotal</t>
  </si>
  <si>
    <t>='Savings and Investments'!$Q$27</t>
  </si>
  <si>
    <t>Goals_OctSavings</t>
  </si>
  <si>
    <t>='Savings and Investments'!$Q$23:$Q$26</t>
  </si>
  <si>
    <t>Goals_SavingsInvestmentsTo_beMade</t>
  </si>
  <si>
    <t>='Savings and Investments'!$V$33:$V$36</t>
  </si>
  <si>
    <t>Goals_SavingsTo_beMade</t>
  </si>
  <si>
    <t>='Savings and Investments'!$V$23:$V$26</t>
  </si>
  <si>
    <t>Goals_SavingTerm</t>
  </si>
  <si>
    <t>='Savings and Investments'!$D$23:$D$26</t>
  </si>
  <si>
    <t>Goals_Sep_SubTotal</t>
  </si>
  <si>
    <t>='Savings and Investments'!$P$27</t>
  </si>
  <si>
    <t>Goals_SepSavings</t>
  </si>
  <si>
    <t>='Savings and Investments'!$P$23:$P$26</t>
  </si>
  <si>
    <t>Goals_ShortNames</t>
  </si>
  <si>
    <t>='Savings and Investments'!$B$23:$B$26</t>
  </si>
  <si>
    <t>Goals_SubTotals</t>
  </si>
  <si>
    <t>='Savings and Investments'!$H$27:$S$27</t>
  </si>
  <si>
    <t>Goals_Total_AnnualSavings</t>
  </si>
  <si>
    <t>='Savings and Investments'!$U$27</t>
  </si>
  <si>
    <t>Goals_Total_perc_To_Goal</t>
  </si>
  <si>
    <t>='Savings and Investments'!$T$27</t>
  </si>
  <si>
    <t>Goals_Total_Savings_To_Be_Made</t>
  </si>
  <si>
    <t>='Savings and Investments'!$V$27</t>
  </si>
  <si>
    <t>Goals_Total_ValueSavings</t>
  </si>
  <si>
    <t>='Savings and Investments'!$W$23:$W$26</t>
  </si>
  <si>
    <t>Income_Name_Feb</t>
  </si>
  <si>
    <t>Income_Name_Jan</t>
  </si>
  <si>
    <t>=Jan!$B$42:$C$49</t>
  </si>
  <si>
    <t>Informal__Annual_Interest_1</t>
  </si>
  <si>
    <t>Informal__Annual_Interest_2</t>
  </si>
  <si>
    <t>Informal__Annual_Interest_3</t>
  </si>
  <si>
    <t>Informal__Annual_Interest_4</t>
  </si>
  <si>
    <t>Informal__Annual_Interest_5</t>
  </si>
  <si>
    <t>Informal_1_payment</t>
  </si>
  <si>
    <t>='Financial Scorecard'!$H$34:$S$34</t>
  </si>
  <si>
    <t>Informal_2_payment</t>
  </si>
  <si>
    <t>='Financial Scorecard'!$H$35:$S$35</t>
  </si>
  <si>
    <t>Informal_3_payment</t>
  </si>
  <si>
    <t>='Financial Scorecard'!$H$36:$S$36</t>
  </si>
  <si>
    <t>Informal_4_payment</t>
  </si>
  <si>
    <t>='Financial Scorecard'!$H$37:$S$37</t>
  </si>
  <si>
    <t>Informal_5_payment</t>
  </si>
  <si>
    <t>='Financial Scorecard'!$H$38:$S$38</t>
  </si>
  <si>
    <t>Informal_Annual_Payment</t>
  </si>
  <si>
    <t>='Financial Scorecard'!$U$39</t>
  </si>
  <si>
    <t>Informal_Annual_Payment_1</t>
  </si>
  <si>
    <t>='Financial Scorecard'!$U$34</t>
  </si>
  <si>
    <t>Informal_Annual_Payment_2</t>
  </si>
  <si>
    <t>='Financial Scorecard'!$U$35</t>
  </si>
  <si>
    <t>Informal_Annual_Payment_3</t>
  </si>
  <si>
    <t>='Financial Scorecard'!$U$36</t>
  </si>
  <si>
    <t>Informal_Annual_Payment_4</t>
  </si>
  <si>
    <t>='Financial Scorecard'!$U$37</t>
  </si>
  <si>
    <t>Informal_Annual_Payment_5</t>
  </si>
  <si>
    <t>='Financial Scorecard'!$U$38</t>
  </si>
  <si>
    <t>Informal_Apr_SubTotal</t>
  </si>
  <si>
    <t>='Financial Scorecard'!$K$39</t>
  </si>
  <si>
    <t>Informal_Aug_SubTotal</t>
  </si>
  <si>
    <t>='Financial Scorecard'!$O$39</t>
  </si>
  <si>
    <t>Informal_Balance</t>
  </si>
  <si>
    <t>='Financial Scorecard'!$Y$37</t>
  </si>
  <si>
    <t>Informal_Balance_Feb</t>
  </si>
  <si>
    <t>Informal_Dec_SubTotal</t>
  </si>
  <si>
    <t>='Financial Scorecard'!$S$39</t>
  </si>
  <si>
    <t>Informal_Feb_SubTotal</t>
  </si>
  <si>
    <t>='Financial Scorecard'!$I$39</t>
  </si>
  <si>
    <t>Informal_IAO</t>
  </si>
  <si>
    <t>='Financial Scorecard'!$C$39</t>
  </si>
  <si>
    <t>Informal_Interest</t>
  </si>
  <si>
    <t>='Financial Scorecard'!$D$34:$D$38</t>
  </si>
  <si>
    <t>Informal_Jan_SubTotal</t>
  </si>
  <si>
    <t>='Financial Scorecard'!$H$39</t>
  </si>
  <si>
    <t>Informal_Jul_SubTotal</t>
  </si>
  <si>
    <t>='Financial Scorecard'!$N$39</t>
  </si>
  <si>
    <t>Informal_Jun_SubTotal</t>
  </si>
  <si>
    <t>='Financial Scorecard'!$M$39</t>
  </si>
  <si>
    <t>Informal_Mar_SubTotal</t>
  </si>
  <si>
    <t>='Financial Scorecard'!$J$39</t>
  </si>
  <si>
    <t>Informal_May_SubTotal</t>
  </si>
  <si>
    <t>='Financial Scorecard'!$L$39</t>
  </si>
  <si>
    <t>Informal_MI</t>
  </si>
  <si>
    <t>='Financial Scorecard'!$G$39</t>
  </si>
  <si>
    <t>Informal_Minimum_Installment_1</t>
  </si>
  <si>
    <t>='Financial Scorecard'!$G$34</t>
  </si>
  <si>
    <t>Informal_Minimum_Installment_2</t>
  </si>
  <si>
    <t>='Financial Scorecard'!$G$35</t>
  </si>
  <si>
    <t>Informal_Minimum_Installment_3</t>
  </si>
  <si>
    <t>='Financial Scorecard'!$G$36</t>
  </si>
  <si>
    <t>Informal_Minimum_Installment_4</t>
  </si>
  <si>
    <t>='Financial Scorecard'!$G$37</t>
  </si>
  <si>
    <t>Informal_Minimum_Installment_5</t>
  </si>
  <si>
    <t>='Financial Scorecard'!$G$38</t>
  </si>
  <si>
    <t>Informal_Minimum_Installments</t>
  </si>
  <si>
    <t>='Financial Scorecard'!$G$34:$G$38</t>
  </si>
  <si>
    <t>Informal_MonthlySavings_Apr_1</t>
  </si>
  <si>
    <t>='Financial Scorecard'!$K$34</t>
  </si>
  <si>
    <t>Informal_MonthlySavings_Apr_2</t>
  </si>
  <si>
    <t>='Financial Scorecard'!$K$35</t>
  </si>
  <si>
    <t>Informal_MonthlySavings_Apr_3</t>
  </si>
  <si>
    <t>='Financial Scorecard'!$K$36</t>
  </si>
  <si>
    <t>Informal_MonthlySavings_Apr_4</t>
  </si>
  <si>
    <t>='Financial Scorecard'!$K$37</t>
  </si>
  <si>
    <t>Informal_MonthlySavings_Apr_5</t>
  </si>
  <si>
    <t>='Financial Scorecard'!$K$38</t>
  </si>
  <si>
    <t>Informal_MonthlySavings_Feb_1</t>
  </si>
  <si>
    <t>='Financial Scorecard'!$I$34</t>
  </si>
  <si>
    <t>Informal_MonthlySavings_Feb_2</t>
  </si>
  <si>
    <t>='Financial Scorecard'!$I$35</t>
  </si>
  <si>
    <t>Informal_MonthlySavings_Feb_3</t>
  </si>
  <si>
    <t>='Financial Scorecard'!$I$36</t>
  </si>
  <si>
    <t>Informal_MonthlySavings_Feb_4</t>
  </si>
  <si>
    <t>='Financial Scorecard'!$I$37</t>
  </si>
  <si>
    <t>Informal_MonthlySavings_Feb_5</t>
  </si>
  <si>
    <t>='Financial Scorecard'!$I$38</t>
  </si>
  <si>
    <t>Informal_MonthlySavings_Jan_1</t>
  </si>
  <si>
    <t>='Financial Scorecard'!$H$34</t>
  </si>
  <si>
    <t>Informal_MonthlySavings_Jan_2</t>
  </si>
  <si>
    <t>='Financial Scorecard'!$H$35</t>
  </si>
  <si>
    <t>Informal_MonthlySavings_Jan_3</t>
  </si>
  <si>
    <t>='Financial Scorecard'!$H$36</t>
  </si>
  <si>
    <t>Informal_MonthlySavings_Jan_4</t>
  </si>
  <si>
    <t>='Financial Scorecard'!$H$37</t>
  </si>
  <si>
    <t>Informal_MonthlySavings_Jan_5</t>
  </si>
  <si>
    <t>='Financial Scorecard'!$H$38</t>
  </si>
  <si>
    <t>Informal_MonthlySavings_Jun_1</t>
  </si>
  <si>
    <t>='Financial Scorecard'!$M$34</t>
  </si>
  <si>
    <t>Informal_MonthlySavings_Jun_2</t>
  </si>
  <si>
    <t>='Financial Scorecard'!$M$35</t>
  </si>
  <si>
    <t>Informal_MonthlySavings_Jun_3</t>
  </si>
  <si>
    <t>='Financial Scorecard'!$M$36</t>
  </si>
  <si>
    <t>Informal_MonthlySavings_Jun_4</t>
  </si>
  <si>
    <t>='Financial Scorecard'!$M$37</t>
  </si>
  <si>
    <t>Informal_MonthlySavings_Jun_5</t>
  </si>
  <si>
    <t>='Financial Scorecard'!$M$38</t>
  </si>
  <si>
    <t>Informal_MonthlySavings_Mar_1</t>
  </si>
  <si>
    <t>='Financial Scorecard'!$J$34</t>
  </si>
  <si>
    <t>Informal_MonthlySavings_Mar_2</t>
  </si>
  <si>
    <t>='Financial Scorecard'!$J$35</t>
  </si>
  <si>
    <t>Informal_MonthlySavings_Mar_3</t>
  </si>
  <si>
    <t>='Financial Scorecard'!$J$36</t>
  </si>
  <si>
    <t>Informal_MonthlySavings_Mar_4</t>
  </si>
  <si>
    <t>='Financial Scorecard'!$J$37</t>
  </si>
  <si>
    <t>Informal_MonthlySavings_Mar_5</t>
  </si>
  <si>
    <t>='Financial Scorecard'!$J$38</t>
  </si>
  <si>
    <t>Informal_MonthlySavings_May_1</t>
  </si>
  <si>
    <t>='Financial Scorecard'!$L$34</t>
  </si>
  <si>
    <t>Informal_MonthlySavings_May_2</t>
  </si>
  <si>
    <t>='Financial Scorecard'!$L$35</t>
  </si>
  <si>
    <t>Informal_MonthlySavings_May_3</t>
  </si>
  <si>
    <t>='Financial Scorecard'!$L$36</t>
  </si>
  <si>
    <t>Informal_MonthlySavings_May_4</t>
  </si>
  <si>
    <t>='Financial Scorecard'!$L$37</t>
  </si>
  <si>
    <t>Informal_MonthlySavings_May_5</t>
  </si>
  <si>
    <t>='Financial Scorecard'!$L$38</t>
  </si>
  <si>
    <t>Informal_Name_1</t>
  </si>
  <si>
    <t>='Financial Scorecard'!$B$34</t>
  </si>
  <si>
    <t>Informal_Name_2</t>
  </si>
  <si>
    <t>='Financial Scorecard'!$B$35</t>
  </si>
  <si>
    <t>Informal_Name_3</t>
  </si>
  <si>
    <t>='Financial Scorecard'!$B$36</t>
  </si>
  <si>
    <t>Informal_Name_4</t>
  </si>
  <si>
    <t>='Financial Scorecard'!$B$37</t>
  </si>
  <si>
    <t>Informal_Name_5</t>
  </si>
  <si>
    <t>='Financial Scorecard'!$B$38</t>
  </si>
  <si>
    <t>Informal_Nov_SubTotal</t>
  </si>
  <si>
    <t>='Financial Scorecard'!$R$39</t>
  </si>
  <si>
    <t>Informal_Oct_SubTotal</t>
  </si>
  <si>
    <t>='Financial Scorecard'!$Q$39</t>
  </si>
  <si>
    <t>Informal_Payment_Terms</t>
  </si>
  <si>
    <t>='Financial Scorecard'!$F$34:$F$38</t>
  </si>
  <si>
    <t>='Financial Scorecard'!$F$34</t>
  </si>
  <si>
    <t>='Financial Scorecard'!$F$35</t>
  </si>
  <si>
    <t>='Financial Scorecard'!$F$36</t>
  </si>
  <si>
    <t>='Financial Scorecard'!$F$37</t>
  </si>
  <si>
    <t>='Financial Scorecard'!$F$38</t>
  </si>
  <si>
    <t>Informal_perc_To_Goal_1</t>
  </si>
  <si>
    <t>='Financial Scorecard'!$T$34</t>
  </si>
  <si>
    <t>Informal_perc_To_Goal_2</t>
  </si>
  <si>
    <t>='Financial Scorecard'!$T$35</t>
  </si>
  <si>
    <t>Informal_perc_To_Goal_3</t>
  </si>
  <si>
    <t>='Financial Scorecard'!$T$36</t>
  </si>
  <si>
    <t>Informal_perc_To_Goal_4</t>
  </si>
  <si>
    <t>='Financial Scorecard'!$T$37</t>
  </si>
  <si>
    <t>Informal_perc_To_Goal_5</t>
  </si>
  <si>
    <t>='Financial Scorecard'!$T$38</t>
  </si>
  <si>
    <t>Informal_Sep_SubTotal</t>
  </si>
  <si>
    <t>='Financial Scorecard'!$P$39</t>
  </si>
  <si>
    <t>Informal_SubTotals</t>
  </si>
  <si>
    <t>='Financial Scorecard'!$H$39:$S$39</t>
  </si>
  <si>
    <t>Informal_TAP</t>
  </si>
  <si>
    <t>='Financial Scorecard'!$X$39</t>
  </si>
  <si>
    <t>Informal_TAP_1</t>
  </si>
  <si>
    <t>='Financial Scorecard'!$X$34</t>
  </si>
  <si>
    <t>Informal_TAP_2</t>
  </si>
  <si>
    <t>='Financial Scorecard'!$X$35</t>
  </si>
  <si>
    <t>Informal_TAP_3</t>
  </si>
  <si>
    <t>='Financial Scorecard'!$X$36</t>
  </si>
  <si>
    <t>Informal_TAP_4</t>
  </si>
  <si>
    <t>='Financial Scorecard'!$X$37</t>
  </si>
  <si>
    <t>Informal_TAP_5</t>
  </si>
  <si>
    <t>='Financial Scorecard'!$X$38</t>
  </si>
  <si>
    <t>Informal_TATBP_1</t>
  </si>
  <si>
    <t>='Financial Scorecard'!$V$34</t>
  </si>
  <si>
    <t>Informal_TATBP_2</t>
  </si>
  <si>
    <t>='Financial Scorecard'!$V$35</t>
  </si>
  <si>
    <t>Informal_TATBP_3</t>
  </si>
  <si>
    <t>='Financial Scorecard'!$V$36</t>
  </si>
  <si>
    <t>Informal_TATBP_4</t>
  </si>
  <si>
    <t>='Financial Scorecard'!$V$37</t>
  </si>
  <si>
    <t>Informal_TATBP_5</t>
  </si>
  <si>
    <t>='Financial Scorecard'!$V$38</t>
  </si>
  <si>
    <t>Informal_TCC</t>
  </si>
  <si>
    <t>='Financial Scorecard'!$W$39</t>
  </si>
  <si>
    <t>Informal_TCC_1</t>
  </si>
  <si>
    <t>='Financial Scorecard'!$W$34</t>
  </si>
  <si>
    <t>Informal_TCC_2</t>
  </si>
  <si>
    <t>='Financial Scorecard'!$W$35</t>
  </si>
  <si>
    <t>Informal_TCC_3</t>
  </si>
  <si>
    <t>='Financial Scorecard'!$W$36</t>
  </si>
  <si>
    <t>Informal_TCC_4</t>
  </si>
  <si>
    <t>='Financial Scorecard'!$W$37</t>
  </si>
  <si>
    <t>Informal_TCC_5</t>
  </si>
  <si>
    <t>='Financial Scorecard'!$W$38</t>
  </si>
  <si>
    <t>Informal_Total_perc_To_Goal</t>
  </si>
  <si>
    <t>='Financial Scorecard'!$T$39</t>
  </si>
  <si>
    <t>Informal_TotalAmount_To_be_paid</t>
  </si>
  <si>
    <t>='Financial Scorecard'!$V$39</t>
  </si>
  <si>
    <t>Initial_amount_Owed_Friends_family</t>
  </si>
  <si>
    <t>='Financial Scorecard'!$C$42:$C$46</t>
  </si>
  <si>
    <t>Initial_amount_Owed_Informal</t>
  </si>
  <si>
    <t>='Financial Scorecard'!$C$34:$C$38</t>
  </si>
  <si>
    <t>Investments_Total_Savings_To_Be_Made</t>
  </si>
  <si>
    <t>='Savings and Investments'!$V$37</t>
  </si>
  <si>
    <t>monthlyExpense_Feb10_Name</t>
  </si>
  <si>
    <t>monthlyExpense_Feb11_Name</t>
  </si>
  <si>
    <t>monthlyExpense_Feb7_Name</t>
  </si>
  <si>
    <t>monthlyExpense_Feb8_Name</t>
  </si>
  <si>
    <t>monthlyExpense_Jan1_Name</t>
  </si>
  <si>
    <t>=Jan!$G$42</t>
  </si>
  <si>
    <t>monthlyExpense_Jan10_Name</t>
  </si>
  <si>
    <t>=Jan!$G$51</t>
  </si>
  <si>
    <t>monthlyExpense_Jan11_Name</t>
  </si>
  <si>
    <t>=Jan!$G$52</t>
  </si>
  <si>
    <t>monthlyExpense_Jan2_Name</t>
  </si>
  <si>
    <t>=Jan!$G$43</t>
  </si>
  <si>
    <t>monthlyExpense_Jan3_Name</t>
  </si>
  <si>
    <t>=Jan!$G$44</t>
  </si>
  <si>
    <t>monthlyExpense_Jan4_Name</t>
  </si>
  <si>
    <t>=Jan!$G$45</t>
  </si>
  <si>
    <t>monthlyExpense_Jan5_Name</t>
  </si>
  <si>
    <t>=Jan!$G$46</t>
  </si>
  <si>
    <t>monthlyExpense_Jan6_Name</t>
  </si>
  <si>
    <t>=Jan!$G$47</t>
  </si>
  <si>
    <t>monthlyExpense_Jan7_Name</t>
  </si>
  <si>
    <t>=Jan!$G$48</t>
  </si>
  <si>
    <t>monthlyExpense_Jan8_Name</t>
  </si>
  <si>
    <t>=Jan!$G$49</t>
  </si>
  <si>
    <t>monthlyExpense_Jan9_Name</t>
  </si>
  <si>
    <t>=Jan!$G$50</t>
  </si>
  <si>
    <t>Names_Family_and_Friends</t>
  </si>
  <si>
    <t>='Financial Scorecard'!$B$42:$C$46</t>
  </si>
  <si>
    <t>Names_Informal_and_Retail</t>
  </si>
  <si>
    <t>='Financial Scorecard'!$B$34:$C$38</t>
  </si>
  <si>
    <t>Over_under_expenses_Jan</t>
  </si>
  <si>
    <t>=Jan!$J$42:$J$52</t>
  </si>
  <si>
    <t>Over_under_Goals_Jan</t>
  </si>
  <si>
    <t>=Jan!$O$43:$O$46</t>
  </si>
  <si>
    <t>Over_under_income_Jan</t>
  </si>
  <si>
    <t>=Jan!$E$42:$E$49</t>
  </si>
  <si>
    <t>Over_Under_Savings_jan</t>
  </si>
  <si>
    <t>=Jan!$O$48:$O$51</t>
  </si>
  <si>
    <t>percentage_to_goal_Friends_family</t>
  </si>
  <si>
    <t>='Financial Scorecard'!$T$42:$T$46</t>
  </si>
  <si>
    <t>percentage_to_goal_Informal</t>
  </si>
  <si>
    <t>='Financial Scorecard'!$T$34:$T$38</t>
  </si>
  <si>
    <t>SavingInvestment_toPercentage</t>
  </si>
  <si>
    <t>='Savings and Investments'!$T$33:$T$36</t>
  </si>
  <si>
    <t>SavingInvestments_MinSavings</t>
  </si>
  <si>
    <t>='Savings and Investments'!$E$33:$E$36</t>
  </si>
  <si>
    <t>Savings_1_Monthly_Savings</t>
  </si>
  <si>
    <t>='Savings and Investments'!$G$33:$S$33</t>
  </si>
  <si>
    <t>Savings_2_Monthly_Savings</t>
  </si>
  <si>
    <t>='Savings and Investments'!$G$34:$S$34</t>
  </si>
  <si>
    <t>Savings_3_Monthly_Savings</t>
  </si>
  <si>
    <t>='Savings and Investments'!$G$35:$S$35</t>
  </si>
  <si>
    <t>Savings_4_Monthly_Savings</t>
  </si>
  <si>
    <t>='Savings and Investments'!$G$36:$S$36</t>
  </si>
  <si>
    <t>Savings_Amount_Total</t>
  </si>
  <si>
    <t>='Savings and Investments'!$C$33:$C$36</t>
  </si>
  <si>
    <t>Savings_Goal_1</t>
  </si>
  <si>
    <t>='Savings and Investments'!$B$23</t>
  </si>
  <si>
    <t>Savings_Goal_2</t>
  </si>
  <si>
    <t>='Savings and Investments'!$B$24</t>
  </si>
  <si>
    <t>Savings_Goal_3</t>
  </si>
  <si>
    <t>='Savings and Investments'!$B$25</t>
  </si>
  <si>
    <t>Savings_Goal_4</t>
  </si>
  <si>
    <t>='Savings and Investments'!$B$26</t>
  </si>
  <si>
    <t>Savings_Goal_AnnualInterest_1</t>
  </si>
  <si>
    <t>='Savings and Investments'!$G$23</t>
  </si>
  <si>
    <t>Savings_Goal_AnnualInterest_2</t>
  </si>
  <si>
    <t>='Savings and Investments'!$G$24</t>
  </si>
  <si>
    <t>Savings_Goal_AnnualInterest_3</t>
  </si>
  <si>
    <t>='Savings and Investments'!$G$25</t>
  </si>
  <si>
    <t>Savings_Goal_AnnualInterest_4</t>
  </si>
  <si>
    <t>='Savings and Investments'!$G$26</t>
  </si>
  <si>
    <t>Savings_Goal_Interest_1</t>
  </si>
  <si>
    <t>='Savings and Investments'!$F$23</t>
  </si>
  <si>
    <t>Savings_Goal_Interest_2</t>
  </si>
  <si>
    <t>='Savings and Investments'!$F$24</t>
  </si>
  <si>
    <t>Savings_Goal_Interest_3</t>
  </si>
  <si>
    <t>='Savings and Investments'!$F$25</t>
  </si>
  <si>
    <t>Savings_Goal_Interest_4</t>
  </si>
  <si>
    <t>='Savings and Investments'!$F$26</t>
  </si>
  <si>
    <t>Savings_Goal_MinSavings_1</t>
  </si>
  <si>
    <t>='Savings and Investments'!$E$23</t>
  </si>
  <si>
    <t>Savings_Goal_MinSavings_2</t>
  </si>
  <si>
    <t>='Savings and Investments'!$E$24</t>
  </si>
  <si>
    <t>Savings_Goal_MinSavings_3</t>
  </si>
  <si>
    <t>='Savings and Investments'!$E$25</t>
  </si>
  <si>
    <t>Savings_Goal_MinSavings_4</t>
  </si>
  <si>
    <t>='Savings and Investments'!$E$26</t>
  </si>
  <si>
    <t>Savings_Goal_MonthlySavings_3Sep_</t>
  </si>
  <si>
    <t>='Savings and Investments'!$P$25</t>
  </si>
  <si>
    <t>Savings_Goal_MonthlySavings_AnnualSa2ving_</t>
  </si>
  <si>
    <t>='Savings and Investments'!$U$24</t>
  </si>
  <si>
    <t>Savings_Goal_MonthlySavings_AnnualSaving_1</t>
  </si>
  <si>
    <t>='Savings and Investments'!$U$23</t>
  </si>
  <si>
    <t>Savings_Goal_MonthlySavings_AnnualSaving_3</t>
  </si>
  <si>
    <t>='Savings and Investments'!$U$25</t>
  </si>
  <si>
    <t>Savings_Goal_MonthlySavings_AnnualSaving_4</t>
  </si>
  <si>
    <t>='Savings and Investments'!$U$26</t>
  </si>
  <si>
    <t>Savings_Goal_MonthlySavings_Aprr_1</t>
  </si>
  <si>
    <t>='Savings and Investments'!$K$23</t>
  </si>
  <si>
    <t>Savings_Goal_MonthlySavings_Aprr_2</t>
  </si>
  <si>
    <t>='Savings and Investments'!$K$24</t>
  </si>
  <si>
    <t>Savings_Goal_MonthlySavings_Aprr_3</t>
  </si>
  <si>
    <t>='Savings and Investments'!$K$25</t>
  </si>
  <si>
    <t>Savings_Goal_MonthlySavings_Aprr_4</t>
  </si>
  <si>
    <t>='Savings and Investments'!$K$26</t>
  </si>
  <si>
    <t>Savings_Goal_MonthlySavings_Aug_1</t>
  </si>
  <si>
    <t>='Savings and Investments'!$O$23</t>
  </si>
  <si>
    <t>Savings_Goal_MonthlySavings_Aug_2</t>
  </si>
  <si>
    <t>='Savings and Investments'!$O$24</t>
  </si>
  <si>
    <t>Savings_Goal_MonthlySavings_Aug_3</t>
  </si>
  <si>
    <t>='Savings and Investments'!$O$25</t>
  </si>
  <si>
    <t>Savings_Goal_MonthlySavings_Aug_4</t>
  </si>
  <si>
    <t>='Savings and Investments'!$O$26</t>
  </si>
  <si>
    <t>Savings_Goal_MonthlySavings_Dec_1</t>
  </si>
  <si>
    <t>='Savings and Investments'!$S$23</t>
  </si>
  <si>
    <t>Savings_Goal_MonthlySavings_Dec_2</t>
  </si>
  <si>
    <t>='Savings and Investments'!$S$24</t>
  </si>
  <si>
    <t>Savings_Goal_MonthlySavings_Dec_3</t>
  </si>
  <si>
    <t>='Savings and Investments'!$S$25</t>
  </si>
  <si>
    <t>Savings_Goal_MonthlySavings_Dec_4</t>
  </si>
  <si>
    <t>='Savings and Investments'!$S$26</t>
  </si>
  <si>
    <t>Savings_Goal_MonthlySavings_Feb_1</t>
  </si>
  <si>
    <t>='Savings and Investments'!$I$23</t>
  </si>
  <si>
    <t>Savings_Goal_MonthlySavings_Feb_2</t>
  </si>
  <si>
    <t>='Savings and Investments'!$I$24</t>
  </si>
  <si>
    <t>Savings_Goal_MonthlySavings_Feb_3</t>
  </si>
  <si>
    <t>='Savings and Investments'!$I$25</t>
  </si>
  <si>
    <t>Savings_Goal_MonthlySavings_Feb_4</t>
  </si>
  <si>
    <t>='Savings and Investments'!$I$26</t>
  </si>
  <si>
    <t>Savings_Goal_MonthlySavings_Jan_1</t>
  </si>
  <si>
    <t>='Savings and Investments'!$H$23</t>
  </si>
  <si>
    <t>Savings_Goal_MonthlySavings_Jan_2</t>
  </si>
  <si>
    <t>='Savings and Investments'!$H$24</t>
  </si>
  <si>
    <t>Savings_Goal_MonthlySavings_Jan_3</t>
  </si>
  <si>
    <t>='Savings and Investments'!$H$25</t>
  </si>
  <si>
    <t>Savings_Goal_MonthlySavings_Jan_4</t>
  </si>
  <si>
    <t>='Savings and Investments'!$H$26</t>
  </si>
  <si>
    <t>Savings_Goal_MonthlySavings_Jul_1</t>
  </si>
  <si>
    <t>='Savings and Investments'!$N$23</t>
  </si>
  <si>
    <t>Savings_Goal_MonthlySavings_Jul_2</t>
  </si>
  <si>
    <t>='Savings and Investments'!$N$24</t>
  </si>
  <si>
    <t>Savings_Goal_MonthlySavings_Jul_3</t>
  </si>
  <si>
    <t>='Savings and Investments'!$N$25</t>
  </si>
  <si>
    <t>Savings_Goal_MonthlySavings_Jul_4</t>
  </si>
  <si>
    <t>='Savings and Investments'!$N$26</t>
  </si>
  <si>
    <t>Savings_Goal_MonthlySavings_Jun_1</t>
  </si>
  <si>
    <t>='Savings and Investments'!$M$23</t>
  </si>
  <si>
    <t>Savings_Goal_MonthlySavings_Jun_2</t>
  </si>
  <si>
    <t>='Savings and Investments'!$M$24</t>
  </si>
  <si>
    <t>Savings_Goal_MonthlySavings_Jun_3</t>
  </si>
  <si>
    <t>='Savings and Investments'!$M$25</t>
  </si>
  <si>
    <t>Savings_Goal_MonthlySavings_Jun_4</t>
  </si>
  <si>
    <t>='Savings and Investments'!$M$26</t>
  </si>
  <si>
    <t>Savings_Goal_MonthlySavings_Mar_1</t>
  </si>
  <si>
    <t>='Savings and Investments'!$J$23</t>
  </si>
  <si>
    <t>Savings_Goal_MonthlySavings_Mar_2</t>
  </si>
  <si>
    <t>='Savings and Investments'!$J$24</t>
  </si>
  <si>
    <t>Savings_Goal_MonthlySavings_Mar_3</t>
  </si>
  <si>
    <t>='Savings and Investments'!$J$25</t>
  </si>
  <si>
    <t>Savings_Goal_MonthlySavings_Mar_4</t>
  </si>
  <si>
    <t>='Savings and Investments'!$J$26</t>
  </si>
  <si>
    <t>Savings_Goal_MonthlySavings_May_1</t>
  </si>
  <si>
    <t>='Savings and Investments'!$L$23</t>
  </si>
  <si>
    <t>Savings_Goal_MonthlySavings_May_2</t>
  </si>
  <si>
    <t>='Savings and Investments'!$L$24</t>
  </si>
  <si>
    <t>Savings_Goal_MonthlySavings_May_3</t>
  </si>
  <si>
    <t>='Savings and Investments'!$L$25</t>
  </si>
  <si>
    <t>Savings_Goal_MonthlySavings_May_4</t>
  </si>
  <si>
    <t>='Savings and Investments'!$L$26</t>
  </si>
  <si>
    <t>Savings_Goal_MonthlySavings_Nov_1</t>
  </si>
  <si>
    <t>='Savings and Investments'!$R$23</t>
  </si>
  <si>
    <t>Savings_Goal_MonthlySavings_Nov_2</t>
  </si>
  <si>
    <t>='Savings and Investments'!$R$24</t>
  </si>
  <si>
    <t>Savings_Goal_MonthlySavings_Nov_3</t>
  </si>
  <si>
    <t>='Savings and Investments'!$R$25</t>
  </si>
  <si>
    <t>Savings_Goal_MonthlySavings_Nov_4</t>
  </si>
  <si>
    <t>='Savings and Investments'!$R$26</t>
  </si>
  <si>
    <t>Savings_Goal_MonthlySavings_Oct_1</t>
  </si>
  <si>
    <t>='Savings and Investments'!$Q$23</t>
  </si>
  <si>
    <t>Savings_Goal_MonthlySavings_Oct_2</t>
  </si>
  <si>
    <t>='Savings and Investments'!$Q$24</t>
  </si>
  <si>
    <t>Savings_Goal_MonthlySavings_Oct_3</t>
  </si>
  <si>
    <t>='Savings and Investments'!$Q$25</t>
  </si>
  <si>
    <t>Savings_Goal_MonthlySavings_Oct_4</t>
  </si>
  <si>
    <t>='Savings and Investments'!$Q$26</t>
  </si>
  <si>
    <t>Savings_Goal_MonthlySavings_PercGoal_1</t>
  </si>
  <si>
    <t>='Savings and Investments'!$T$23</t>
  </si>
  <si>
    <t>Savings_Goal_MonthlySavings_PercGoal_2</t>
  </si>
  <si>
    <t>='Savings and Investments'!$T$24</t>
  </si>
  <si>
    <t>Savings_Goal_MonthlySavings_PercGoal_3</t>
  </si>
  <si>
    <t>='Savings and Investments'!$T$25</t>
  </si>
  <si>
    <t>Savings_Goal_MonthlySavings_PercGoal_4</t>
  </si>
  <si>
    <t>='Savings and Investments'!$T$26</t>
  </si>
  <si>
    <t>Savings_Goal_MonthlySavings_Sep_1</t>
  </si>
  <si>
    <t>='Savings and Investments'!$P$23</t>
  </si>
  <si>
    <t>Savings_Goal_MonthlySavings_Sep_2</t>
  </si>
  <si>
    <t>='Savings and Investments'!$P$24</t>
  </si>
  <si>
    <t>Savings_Goal_MonthlySavings_Sep_4</t>
  </si>
  <si>
    <t>='Savings and Investments'!$P$26</t>
  </si>
  <si>
    <t>Savings_Goal_MonthlySavings_Total_Value_Saving__1</t>
  </si>
  <si>
    <t>='Savings and Investments'!$W$23</t>
  </si>
  <si>
    <t>Savings_Goal_MonthlySavings_Total_Value_Saving__2</t>
  </si>
  <si>
    <t>='Savings and Investments'!$W$24</t>
  </si>
  <si>
    <t>Savings_Goal_MonthlySavings_Total_Value_Saving__3</t>
  </si>
  <si>
    <t>='Savings and Investments'!$W$25</t>
  </si>
  <si>
    <t>Savings_Goal_MonthlySavings_Total_Value_Saving__4</t>
  </si>
  <si>
    <t>='Savings and Investments'!$W$26</t>
  </si>
  <si>
    <t>Savings_Goal_MonthlySavings_TotalSaving__made_1</t>
  </si>
  <si>
    <t>='Savings and Investments'!$V$23</t>
  </si>
  <si>
    <t>Savings_Goal_MonthlySavings_TotalSaving__made_2</t>
  </si>
  <si>
    <t>='Savings and Investments'!$V$24</t>
  </si>
  <si>
    <t>Savings_Goal_MonthlySavings_TotalSaving__made_3</t>
  </si>
  <si>
    <t>='Savings and Investments'!$V$25</t>
  </si>
  <si>
    <t>Savings_Goal_MonthlySavings_TotalSaving__made_4</t>
  </si>
  <si>
    <t>='Savings and Investments'!$V$26</t>
  </si>
  <si>
    <t>Savings_Goal_Term_1</t>
  </si>
  <si>
    <t>='Savings and Investments'!$D$23</t>
  </si>
  <si>
    <t>Savings_Goal_Term_2</t>
  </si>
  <si>
    <t>='Savings and Investments'!$D$24</t>
  </si>
  <si>
    <t>Savings_Goal_Term_3</t>
  </si>
  <si>
    <t>='Savings and Investments'!$D$25</t>
  </si>
  <si>
    <t>Savings_Goal_Term_4</t>
  </si>
  <si>
    <t>='Savings and Investments'!$D$26</t>
  </si>
  <si>
    <t>Savings_goal_Total_1</t>
  </si>
  <si>
    <t>='Savings and Investments'!$F$23:$S$23</t>
  </si>
  <si>
    <t>Savings_goal_Total_2</t>
  </si>
  <si>
    <t>='Savings and Investments'!$F$24:$S$24</t>
  </si>
  <si>
    <t>Savings_goal_Total_3</t>
  </si>
  <si>
    <t>='Savings and Investments'!$F$25:$S$25</t>
  </si>
  <si>
    <t>Savings_goal_Total_4</t>
  </si>
  <si>
    <t>='Savings and Investments'!$F$26:$S$26</t>
  </si>
  <si>
    <t>Savings_Goal_Total_ValueAmount_Saved</t>
  </si>
  <si>
    <t>='Savings and Investments'!$X$23:$X$26</t>
  </si>
  <si>
    <t>Savings_Goal_TotalAmount_Saved_1</t>
  </si>
  <si>
    <t>='Savings and Investments'!$X$23</t>
  </si>
  <si>
    <t>Savings_Goal_TotalAmount_Saved_2</t>
  </si>
  <si>
    <t>='Savings and Investments'!$X$24</t>
  </si>
  <si>
    <t>Savings_Goal_TotalAmount_Saved_3</t>
  </si>
  <si>
    <t>='Savings and Investments'!$X$25</t>
  </si>
  <si>
    <t>Savings_Goal_TotalAmount_Saved_4</t>
  </si>
  <si>
    <t>='Savings and Investments'!$X$26</t>
  </si>
  <si>
    <t>Savings_GoalAmount_1</t>
  </si>
  <si>
    <t>='Savings and Investments'!$C$23</t>
  </si>
  <si>
    <t>Savings_GoalAmount_2</t>
  </si>
  <si>
    <t>='Savings and Investments'!$C$24</t>
  </si>
  <si>
    <t>Savings_GoalAmount_3</t>
  </si>
  <si>
    <t>='Savings and Investments'!$C$25</t>
  </si>
  <si>
    <t>Savings_GoalAmount_4</t>
  </si>
  <si>
    <t>='Savings and Investments'!$C$26</t>
  </si>
  <si>
    <t>Savings_Goals_Description</t>
  </si>
  <si>
    <t>='Savings and Investments'!$B$23:$C$26</t>
  </si>
  <si>
    <t>Savings_Goals_TotalAmountSaved</t>
  </si>
  <si>
    <t>='Savings and Investments'!$X$27</t>
  </si>
  <si>
    <t>Savings_Interest</t>
  </si>
  <si>
    <t>='Savings and Investments'!$F$33:$F$36</t>
  </si>
  <si>
    <t>Savings_Investmensts_MonthlySavings_AnnualSaving_1</t>
  </si>
  <si>
    <t>='Savings and Investments'!$U$33</t>
  </si>
  <si>
    <t>Savings_Investmensts_MonthlySavings_AnnualSaving_2</t>
  </si>
  <si>
    <t>='Savings and Investments'!$U$34</t>
  </si>
  <si>
    <t>Savings_Investmensts_MonthlySavings_AnnualSaving_3</t>
  </si>
  <si>
    <t>='Savings and Investments'!$U$35</t>
  </si>
  <si>
    <t>Savings_Investmensts_MonthlySavings_AnnualSaving_4</t>
  </si>
  <si>
    <t>='Savings and Investments'!$U$36</t>
  </si>
  <si>
    <t>Savings_Investments_1</t>
  </si>
  <si>
    <t>='Savings and Investments'!$B$33</t>
  </si>
  <si>
    <t>Savings_Investments_2</t>
  </si>
  <si>
    <t>='Savings and Investments'!$B$34</t>
  </si>
  <si>
    <t>Savings_Investments_3</t>
  </si>
  <si>
    <t>='Savings and Investments'!$B$35</t>
  </si>
  <si>
    <t>Savings_Investments_4</t>
  </si>
  <si>
    <t>='Savings and Investments'!$B$36</t>
  </si>
  <si>
    <t>Savings_Investments_AnnualInterest_1</t>
  </si>
  <si>
    <t>='Savings and Investments'!$G$33</t>
  </si>
  <si>
    <t>Savings_Investments_AnnualInterest_2</t>
  </si>
  <si>
    <t>='Savings and Investments'!$G$34</t>
  </si>
  <si>
    <t>Savings_Investments_AnnualInterest_3</t>
  </si>
  <si>
    <t>='Savings and Investments'!$G$35</t>
  </si>
  <si>
    <t>Savings_Investments_AnnualInterest_4</t>
  </si>
  <si>
    <t>='Savings and Investments'!$G$36</t>
  </si>
  <si>
    <t>Savings_Investments_Description</t>
  </si>
  <si>
    <t>='Savings and Investments'!$B$33:$C$36</t>
  </si>
  <si>
    <t>Savings_Investments_MinSavings_1</t>
  </si>
  <si>
    <t>='Savings and Investments'!$E$33</t>
  </si>
  <si>
    <t>Savings_Investments_MinSavings_2</t>
  </si>
  <si>
    <t>='Savings and Investments'!$E$34</t>
  </si>
  <si>
    <t>Savings_Investments_MinSavings_3</t>
  </si>
  <si>
    <t>='Savings and Investments'!$E$35</t>
  </si>
  <si>
    <t>Savings_Investments_MinSavings_4</t>
  </si>
  <si>
    <t>='Savings and Investments'!$E$36</t>
  </si>
  <si>
    <t>Savings_Investments_MonthlySavings_Apr_1</t>
  </si>
  <si>
    <t>='Savings and Investments'!$K$33</t>
  </si>
  <si>
    <t>Savings_Investments_MonthlySavings_Apr_2</t>
  </si>
  <si>
    <t>='Savings and Investments'!$K$34</t>
  </si>
  <si>
    <t>Savings_Investments_MonthlySavings_Apr_3</t>
  </si>
  <si>
    <t>='Savings and Investments'!$K$35</t>
  </si>
  <si>
    <t>Savings_Investments_MonthlySavings_Apr_4</t>
  </si>
  <si>
    <t>='Savings and Investments'!$K$36</t>
  </si>
  <si>
    <t>Savings_Investments_MonthlySavings_Aug_1</t>
  </si>
  <si>
    <t>='Savings and Investments'!$O$33</t>
  </si>
  <si>
    <t>Savings_Investments_MonthlySavings_Aug_2</t>
  </si>
  <si>
    <t>='Savings and Investments'!$O$34</t>
  </si>
  <si>
    <t>Savings_Investments_MonthlySavings_Aug_3</t>
  </si>
  <si>
    <t>='Savings and Investments'!$O$35</t>
  </si>
  <si>
    <t>Savings_Investments_MonthlySavings_Aug_4</t>
  </si>
  <si>
    <t>='Savings and Investments'!$O$36</t>
  </si>
  <si>
    <t>Savings_Investments_MonthlySavings_Dec_1</t>
  </si>
  <si>
    <t>='Savings and Investments'!$S$33</t>
  </si>
  <si>
    <t>Savings_Investments_MonthlySavings_Dec_2</t>
  </si>
  <si>
    <t>='Savings and Investments'!$S$34</t>
  </si>
  <si>
    <t>Savings_Investments_MonthlySavings_Dec_3</t>
  </si>
  <si>
    <t>='Savings and Investments'!$S$35</t>
  </si>
  <si>
    <t>Savings_Investments_MonthlySavings_Dec_4</t>
  </si>
  <si>
    <t>='Savings and Investments'!$S$36</t>
  </si>
  <si>
    <t>Savings_Investments_MonthlySavings_Feb_1</t>
  </si>
  <si>
    <t>='Savings and Investments'!$I$33</t>
  </si>
  <si>
    <t>Savings_Investments_MonthlySavings_Feb_2</t>
  </si>
  <si>
    <t>='Savings and Investments'!$I$34</t>
  </si>
  <si>
    <t>Savings_Investments_MonthlySavings_Feb_3</t>
  </si>
  <si>
    <t>='Savings and Investments'!$I$35</t>
  </si>
  <si>
    <t>Savings_Investments_MonthlySavings_Feb_4</t>
  </si>
  <si>
    <t>='Savings and Investments'!$I$36</t>
  </si>
  <si>
    <t>Savings_Investments_MonthlySavings_Jan_1</t>
  </si>
  <si>
    <t>='Savings and Investments'!$H$33</t>
  </si>
  <si>
    <t>Savings_Investments_MonthlySavings_Jan_2</t>
  </si>
  <si>
    <t>='Savings and Investments'!$H$34</t>
  </si>
  <si>
    <t>Savings_Investments_MonthlySavings_Jan_3</t>
  </si>
  <si>
    <t>='Savings and Investments'!$H$35</t>
  </si>
  <si>
    <t>Savings_Investments_MonthlySavings_Jan_4</t>
  </si>
  <si>
    <t>='Savings and Investments'!$H$36</t>
  </si>
  <si>
    <t>Savings_Investments_MonthlySavings_Jul_1</t>
  </si>
  <si>
    <t>='Savings and Investments'!$N$33</t>
  </si>
  <si>
    <t>Savings_Investments_MonthlySavings_Jul_2</t>
  </si>
  <si>
    <t>='Savings and Investments'!$N$34</t>
  </si>
  <si>
    <t>Savings_Investments_MonthlySavings_Jul_3</t>
  </si>
  <si>
    <t>='Savings and Investments'!$N$35</t>
  </si>
  <si>
    <t>Savings_Investments_MonthlySavings_Jul_4</t>
  </si>
  <si>
    <t>='Savings and Investments'!$N$36</t>
  </si>
  <si>
    <t>Savings_Investments_MonthlySavings_Jun_1</t>
  </si>
  <si>
    <t>='Savings and Investments'!$M$33</t>
  </si>
  <si>
    <t>Savings_Investments_MonthlySavings_Jun_2</t>
  </si>
  <si>
    <t>='Savings and Investments'!$M$34</t>
  </si>
  <si>
    <t>Savings_Investments_MonthlySavings_Jun_3</t>
  </si>
  <si>
    <t>='Savings and Investments'!$M$35</t>
  </si>
  <si>
    <t>Savings_Investments_MonthlySavings_Jun_4</t>
  </si>
  <si>
    <t>='Savings and Investments'!$M$36</t>
  </si>
  <si>
    <t>Savings_Investments_MonthlySavings_Mar_1</t>
  </si>
  <si>
    <t>='Savings and Investments'!$J$33</t>
  </si>
  <si>
    <t>Savings_Investments_MonthlySavings_Mar_2</t>
  </si>
  <si>
    <t>='Savings and Investments'!$J$34</t>
  </si>
  <si>
    <t>Savings_Investments_MonthlySavings_Mar_3</t>
  </si>
  <si>
    <t>='Savings and Investments'!$J$35</t>
  </si>
  <si>
    <t>Savings_Investments_MonthlySavings_Mar_4</t>
  </si>
  <si>
    <t>='Savings and Investments'!$J$36</t>
  </si>
  <si>
    <t>Savings_Investments_MonthlySavings_May_1</t>
  </si>
  <si>
    <t>='Savings and Investments'!$L$33</t>
  </si>
  <si>
    <t>Savings_Investments_MonthlySavings_May_2</t>
  </si>
  <si>
    <t>='Savings and Investments'!$L$34</t>
  </si>
  <si>
    <t>Savings_Investments_MonthlySavings_May_3</t>
  </si>
  <si>
    <t>='Savings and Investments'!$L$35</t>
  </si>
  <si>
    <t>Savings_Investments_MonthlySavings_May_4</t>
  </si>
  <si>
    <t>='Savings and Investments'!$L$36</t>
  </si>
  <si>
    <t>Savings_Investments_MonthlySavings_Nov_1</t>
  </si>
  <si>
    <t>='Savings and Investments'!$R$33</t>
  </si>
  <si>
    <t>Savings_Investments_MonthlySavings_Nov_2</t>
  </si>
  <si>
    <t>='Savings and Investments'!$R$34</t>
  </si>
  <si>
    <t>Savings_Investments_MonthlySavings_Nov_3</t>
  </si>
  <si>
    <t>='Savings and Investments'!$R$35</t>
  </si>
  <si>
    <t>Savings_Investments_MonthlySavings_Nov_4</t>
  </si>
  <si>
    <t>='Savings and Investments'!$R$36</t>
  </si>
  <si>
    <t>Savings_Investments_MonthlySavings_Oct_1</t>
  </si>
  <si>
    <t>='Savings and Investments'!$Q$33</t>
  </si>
  <si>
    <t>Savings_Investments_MonthlySavings_Oct_2</t>
  </si>
  <si>
    <t>='Savings and Investments'!$Q$34</t>
  </si>
  <si>
    <t>Savings_Investments_MonthlySavings_Oct_3</t>
  </si>
  <si>
    <t>='Savings and Investments'!$Q$35</t>
  </si>
  <si>
    <t>Savings_Investments_MonthlySavings_Oct_4</t>
  </si>
  <si>
    <t>='Savings and Investments'!$Q$36</t>
  </si>
  <si>
    <t>Savings_Investments_MonthlySavings_PercGoal_1</t>
  </si>
  <si>
    <t>='Savings and Investments'!$T$33</t>
  </si>
  <si>
    <t>Savings_Investments_MonthlySavings_PercGoal_2</t>
  </si>
  <si>
    <t>='Savings and Investments'!$T$34</t>
  </si>
  <si>
    <t>Savings_Investments_MonthlySavings_PercGoal_3</t>
  </si>
  <si>
    <t>='Savings and Investments'!$T$35</t>
  </si>
  <si>
    <t>Savings_Investments_MonthlySavings_PercGoal_4</t>
  </si>
  <si>
    <t>='Savings and Investments'!$T$36</t>
  </si>
  <si>
    <t>Savings_Investments_MonthlySavings_Sep_1</t>
  </si>
  <si>
    <t>='Savings and Investments'!$P$33</t>
  </si>
  <si>
    <t>Savings_Investments_MonthlySavings_Sep_2</t>
  </si>
  <si>
    <t>='Savings and Investments'!$P$34</t>
  </si>
  <si>
    <t>Savings_Investments_MonthlySavings_Sep_3</t>
  </si>
  <si>
    <t>='Savings and Investments'!$P$35</t>
  </si>
  <si>
    <t>Savings_Investments_MonthlySavings_Sep_4</t>
  </si>
  <si>
    <t>='Savings and Investments'!$P$36</t>
  </si>
  <si>
    <t>Savings_Investments_MonthlySavings_Total_Value_Saving__1</t>
  </si>
  <si>
    <t>='Savings and Investments'!$W$33</t>
  </si>
  <si>
    <t>Savings_Investments_MonthlySavings_Total_Value_Saving__2</t>
  </si>
  <si>
    <t>='Savings and Investments'!$W$34</t>
  </si>
  <si>
    <t>Savings_Investments_MonthlySavings_Total_Value_Saving__3</t>
  </si>
  <si>
    <t>='Savings and Investments'!$W$35</t>
  </si>
  <si>
    <t>Savings_Investments_MonthlySavings_Total_Value_Saving__4</t>
  </si>
  <si>
    <t>='Savings and Investments'!$W$36</t>
  </si>
  <si>
    <t>Savings_Investments_MonthlySavings_TotalSaving__made_1</t>
  </si>
  <si>
    <t>='Savings and Investments'!$V$33</t>
  </si>
  <si>
    <t>Savings_Investments_MonthlySavings_TotalSaving__made_2</t>
  </si>
  <si>
    <t>='Savings and Investments'!$V$34</t>
  </si>
  <si>
    <t>Savings_Investments_MonthlySavings_TotalSaving__made_3</t>
  </si>
  <si>
    <t>='Savings and Investments'!$V$35</t>
  </si>
  <si>
    <t>Savings_Investments_MonthlySavings_TotalSaving__made_4</t>
  </si>
  <si>
    <t>='Savings and Investments'!$V$36</t>
  </si>
  <si>
    <t>Savings_Investments_SavingTerm</t>
  </si>
  <si>
    <t>='Savings and Investments'!$D$33:$D$36</t>
  </si>
  <si>
    <t>Savings_Investments_Total_ValueAmount_Saved</t>
  </si>
  <si>
    <t>='Savings and Investments'!$X$33:$X$36</t>
  </si>
  <si>
    <t>Savings_Investments_TotalAmount_Saved_1</t>
  </si>
  <si>
    <t>='Savings and Investments'!$X$33</t>
  </si>
  <si>
    <t>Savings_Investments_TotalAmount_Saved_2</t>
  </si>
  <si>
    <t>='Savings and Investments'!$X$34</t>
  </si>
  <si>
    <t>Savings_Investments_TotalAmount_Saved_3</t>
  </si>
  <si>
    <t>='Savings and Investments'!$X$35</t>
  </si>
  <si>
    <t>Savings_Investments_TotalAmount_Saved_4</t>
  </si>
  <si>
    <t>='Savings and Investments'!$X$36</t>
  </si>
  <si>
    <t>Savings_Investments_TotalAmountSaved</t>
  </si>
  <si>
    <t>='Savings and Investments'!$X$37</t>
  </si>
  <si>
    <t>Savings_InvestmentsAmount_1</t>
  </si>
  <si>
    <t>='Savings and Investments'!$C$33</t>
  </si>
  <si>
    <t>Savings_InvestmentsAmount_2</t>
  </si>
  <si>
    <t>='Savings and Investments'!$C$34</t>
  </si>
  <si>
    <t>Savings_InvestmentsAmount_3</t>
  </si>
  <si>
    <t>='Savings and Investments'!$C$35</t>
  </si>
  <si>
    <t>Savings_InvestmentsAmount_4</t>
  </si>
  <si>
    <t>='Savings and Investments'!$C$36</t>
  </si>
  <si>
    <t>Savings_InvestmentsInterest_1</t>
  </si>
  <si>
    <t>='Savings and Investments'!$F$33</t>
  </si>
  <si>
    <t>Savings_InvestmentsInterest_2</t>
  </si>
  <si>
    <t>='Savings and Investments'!$F$34</t>
  </si>
  <si>
    <t>Savings_InvestmentsInterest_3</t>
  </si>
  <si>
    <t>='Savings and Investments'!$F$35</t>
  </si>
  <si>
    <t>Savings_InvestmentsInterest_4</t>
  </si>
  <si>
    <t>='Savings and Investments'!$F$36</t>
  </si>
  <si>
    <t>Savings_InvestmentsTerm_1</t>
  </si>
  <si>
    <t>='Savings and Investments'!$D$33</t>
  </si>
  <si>
    <t>Savings_InvestmentsTerm_2</t>
  </si>
  <si>
    <t>='Savings and Investments'!$D$34</t>
  </si>
  <si>
    <t>Savings_InvestmentsTerm_3</t>
  </si>
  <si>
    <t>='Savings and Investments'!$D$35</t>
  </si>
  <si>
    <t>Savings_InvestmentsTerm_4</t>
  </si>
  <si>
    <t>='Savings and Investments'!$D$36</t>
  </si>
  <si>
    <t>Savings_Name_1</t>
  </si>
  <si>
    <t>Savings_Name_1_Feb</t>
  </si>
  <si>
    <t>Savings_TotalValue_MonthlySavings_Total_Value_Saving__2</t>
  </si>
  <si>
    <t>='Savings and Investments'!$W$27</t>
  </si>
  <si>
    <t>SavingsInvestmensts_1_Monthly_Savings</t>
  </si>
  <si>
    <t>='Savings and Investments'!$H$33:$S$33</t>
  </si>
  <si>
    <t>SavingsInvestmensts_2_Monthly_Savings</t>
  </si>
  <si>
    <t>='Savings and Investments'!$H$34:$S$34</t>
  </si>
  <si>
    <t>SavingsInvestmensts_3_Monthly_Savings</t>
  </si>
  <si>
    <t>='Savings and Investments'!$H$35:$S$35</t>
  </si>
  <si>
    <t>SavingsInvestmensts_4_Monthly_Savings</t>
  </si>
  <si>
    <t>='Savings and Investments'!$H$36:$S$36</t>
  </si>
  <si>
    <t>SavingsInvestment_AnnualInterest</t>
  </si>
  <si>
    <t>='Savings and Investments'!$G$33:$G$36</t>
  </si>
  <si>
    <t>SavingsInvestment_AnnualSavings</t>
  </si>
  <si>
    <t>='Savings and Investments'!$U$33:$U$36</t>
  </si>
  <si>
    <t>SavingsInvestment_Total_ValueSavings</t>
  </si>
  <si>
    <t>='Savings and Investments'!$W$33:$W$36</t>
  </si>
  <si>
    <t>SavingsInvestments_Apr_SubTotal</t>
  </si>
  <si>
    <t>='Savings and Investments'!$K$37</t>
  </si>
  <si>
    <t>SavingsInvestments_Aug_SubTotal</t>
  </si>
  <si>
    <t>='Savings and Investments'!$O$37</t>
  </si>
  <si>
    <t>SavingsInvestments_AugSavings</t>
  </si>
  <si>
    <t>='Savings and Investments'!$O$33:$O$36</t>
  </si>
  <si>
    <t>SavingsInvestments_Dec_SubTotal</t>
  </si>
  <si>
    <t>='Savings and Investments'!$S$37</t>
  </si>
  <si>
    <t>SavingsInvestments_DecSavings</t>
  </si>
  <si>
    <t>='Savings and Investments'!$S$33:$S$36</t>
  </si>
  <si>
    <t>SavingsInvestments_Feb_SubTotal</t>
  </si>
  <si>
    <t>='Savings and Investments'!$I$37</t>
  </si>
  <si>
    <t>SavingsInvestments_FebSavings</t>
  </si>
  <si>
    <t>='Savings and Investments'!$I$33:$I$36</t>
  </si>
  <si>
    <t>SavingsInvestments_GA</t>
  </si>
  <si>
    <t>='Savings and Investments'!$C$37</t>
  </si>
  <si>
    <t>SavingsInvestments_Jan_SubTotal</t>
  </si>
  <si>
    <t>='Savings and Investments'!$H$37</t>
  </si>
  <si>
    <t>SavingsInvestments_JanSavings</t>
  </si>
  <si>
    <t>='Savings and Investments'!$H$33:$H$36</t>
  </si>
  <si>
    <t>SavingsInvestments_JAprSavings</t>
  </si>
  <si>
    <t>='Savings and Investments'!$K$33:$K$36</t>
  </si>
  <si>
    <t>SavingsInvestments_Jul_SubTotal</t>
  </si>
  <si>
    <t>='Savings and Investments'!$N$37</t>
  </si>
  <si>
    <t>SavingsInvestments_JulSavings</t>
  </si>
  <si>
    <t>='Savings and Investments'!$N$33:$N$36</t>
  </si>
  <si>
    <t>SavingsInvestments_Jun_SubTotal</t>
  </si>
  <si>
    <t>='Savings and Investments'!$M$37</t>
  </si>
  <si>
    <t>SavingsInvestments_JunSavings</t>
  </si>
  <si>
    <t>='Savings and Investments'!$M$33:$M$36</t>
  </si>
  <si>
    <t>SavingsInvestments_Mar_SubTotal</t>
  </si>
  <si>
    <t>='Savings and Investments'!$J$37</t>
  </si>
  <si>
    <t>SavingsInvestments_MarSavings</t>
  </si>
  <si>
    <t>='Savings and Investments'!$J$33:$J$36</t>
  </si>
  <si>
    <t>SavingsInvestments_May_SubTotal</t>
  </si>
  <si>
    <t>='Savings and Investments'!$L$37</t>
  </si>
  <si>
    <t>SavingsInvestments_MaySavings</t>
  </si>
  <si>
    <t>='Savings and Investments'!$L$33:$L$36</t>
  </si>
  <si>
    <t>SavingsInvestments_Nov_SubTotal</t>
  </si>
  <si>
    <t>='Savings and Investments'!$R$37</t>
  </si>
  <si>
    <t>SavingsInvestments_NovSavings</t>
  </si>
  <si>
    <t>='Savings and Investments'!$R$33:$R$36</t>
  </si>
  <si>
    <t>SavingsInvestments_Oct_SubTotal</t>
  </si>
  <si>
    <t>='Savings and Investments'!$Q$37</t>
  </si>
  <si>
    <t>SavingsInvestments_OctSavings</t>
  </si>
  <si>
    <t>='Savings and Investments'!$Q$33:$Q$36</t>
  </si>
  <si>
    <t>SavingsInvestments_Sep_SubTotal</t>
  </si>
  <si>
    <t>='Savings and Investments'!$P$37</t>
  </si>
  <si>
    <t>SavingsInvestments_SepSavings</t>
  </si>
  <si>
    <t>='Savings and Investments'!$P$33:$P$36</t>
  </si>
  <si>
    <t>SavingsInvestments_SubTotals</t>
  </si>
  <si>
    <t>='Savings and Investments'!$H$37:$S$37</t>
  </si>
  <si>
    <t>SavingsInvestments_Total_AnnualSavings</t>
  </si>
  <si>
    <t>='Savings and Investments'!$U$37</t>
  </si>
  <si>
    <t>SavingsInvestments_Total_perc_To_Goal</t>
  </si>
  <si>
    <t>='Savings and Investments'!$T$37</t>
  </si>
  <si>
    <t>SavingsInvestments_TotalValue_MonthlySavings_Total_Value_Saving__2</t>
  </si>
  <si>
    <t>='Savings and Investments'!$W$37</t>
  </si>
  <si>
    <t>='Financial Scorecard'!$X$23:$X$30</t>
  </si>
  <si>
    <t>Total_Amount_Paid_Friends_family</t>
  </si>
  <si>
    <t>='Financial Scorecard'!$X$42:$X$46</t>
  </si>
  <si>
    <t>Total_Amount_Paid_Informal</t>
  </si>
  <si>
    <t>='Financial Scorecard'!$X$34:$X$38</t>
  </si>
  <si>
    <t>Total_Amount_to_be_Paid_Friends_family</t>
  </si>
  <si>
    <t>='Financial Scorecard'!$V$42:$V$46</t>
  </si>
  <si>
    <t>Total_Amount_to_be_Paid_Informal</t>
  </si>
  <si>
    <t>='Financial Scorecard'!$V$34:$V$38</t>
  </si>
  <si>
    <t>Total_Cost_of_Credit_Friends_family</t>
  </si>
  <si>
    <t>='Financial Scorecard'!$W$42:$W$46</t>
  </si>
  <si>
    <t>Total_Cost_of_Credit_Informal</t>
  </si>
  <si>
    <t>='Financial Scorecard'!$W$34:$W$38</t>
  </si>
  <si>
    <t>TOTAL_DEDUCTIONS</t>
  </si>
  <si>
    <t>=Jan!$Y$47</t>
  </si>
  <si>
    <t>Total_Expenses_Jan</t>
  </si>
  <si>
    <t>=Jan!$I$53</t>
  </si>
  <si>
    <t>Total_Income_Actual_Jan</t>
  </si>
  <si>
    <t>=Jan!$D$50</t>
  </si>
  <si>
    <t>REMAINING AMOUNT</t>
  </si>
  <si>
    <t>MONTHLY BUDGET - FEB</t>
  </si>
  <si>
    <t>MONTHLY BUDGET - MAR</t>
  </si>
  <si>
    <t>MONTHLY BUDGET - APR</t>
  </si>
  <si>
    <t>MONTHLY BUDGET - MAY</t>
  </si>
  <si>
    <t>MONTHLY BUDGET - JUN</t>
  </si>
  <si>
    <t>MONTHLY BUDGET - JUL</t>
  </si>
  <si>
    <t>MONTHLY BUDGET - AUG</t>
  </si>
  <si>
    <t>MONTHLY BUDGET - SEP</t>
  </si>
  <si>
    <t>MONTHLY BUDGET - OCT</t>
  </si>
  <si>
    <t>MONTHLY BUDGET - NOV</t>
  </si>
  <si>
    <t>MONTHLY BUDGET - DEC</t>
  </si>
  <si>
    <t>Money coming in this year</t>
  </si>
  <si>
    <t>What is spent this year</t>
  </si>
  <si>
    <t xml:space="preserve">YEARLY BUDGET </t>
  </si>
  <si>
    <t>Deposit</t>
  </si>
  <si>
    <t>Home Loan Repayment Calculator (With extra Payments)</t>
  </si>
  <si>
    <t>Period Rate</t>
  </si>
  <si>
    <t>Payment</t>
  </si>
  <si>
    <t>Input Data</t>
  </si>
  <si>
    <t>Term in years</t>
  </si>
  <si>
    <t>Period</t>
  </si>
  <si>
    <t>Interest</t>
  </si>
  <si>
    <t>Principal Paid</t>
  </si>
  <si>
    <t>Extra Payments</t>
  </si>
  <si>
    <t>New Balance</t>
  </si>
  <si>
    <t>Vehicle Loan Repayment Calculator (With extra Payments)</t>
  </si>
  <si>
    <t>Purchase Price</t>
  </si>
  <si>
    <t>Annual Interest Rate</t>
  </si>
  <si>
    <t>Length of loan (in months)</t>
  </si>
  <si>
    <t>Principal</t>
  </si>
  <si>
    <t>Extra Payment</t>
  </si>
  <si>
    <t>New</t>
  </si>
  <si>
    <t>Paid</t>
  </si>
  <si>
    <t>Balnace</t>
  </si>
  <si>
    <r>
      <t xml:space="preserve">ASISA FOUNDATION  - </t>
    </r>
    <r>
      <rPr>
        <b/>
        <sz val="9"/>
        <color rgb="FFC9233C"/>
        <rFont val="Century Gothic"/>
        <family val="2"/>
      </rPr>
      <t xml:space="preserve">SWW L+EARN </t>
    </r>
    <r>
      <rPr>
        <sz val="9"/>
        <color theme="1"/>
        <rFont val="Arial"/>
        <family val="2"/>
      </rPr>
      <t xml:space="preserve">PERSONAL FINANCIAL TOOL </t>
    </r>
  </si>
  <si>
    <t>HELP</t>
  </si>
  <si>
    <r>
      <rPr>
        <b/>
        <sz val="10"/>
        <color theme="3"/>
        <rFont val="Century Gothic"/>
        <family val="2"/>
      </rPr>
      <t xml:space="preserve">Personal Financial Tool - Overview     </t>
    </r>
    <r>
      <rPr>
        <sz val="10"/>
        <color theme="3"/>
        <rFont val="Century Gothic"/>
        <family val="2"/>
      </rPr>
      <t xml:space="preserve">
</t>
    </r>
    <r>
      <rPr>
        <sz val="9"/>
        <rFont val="Century Gothic"/>
        <family val="2"/>
      </rPr>
      <t>This Tool does the following:
1. It allows you to do a monthly budget over a twelve-month cyle (January - December). 
2. Manage your debt by creating a plan on how to pay creditor through a Financial Scorecard;
3. Allocate money towards financial goals and to savings&amp;Investments;
4. Calculate interest received from investments and interest paid to creditors.</t>
    </r>
  </si>
  <si>
    <r>
      <rPr>
        <b/>
        <sz val="10"/>
        <color theme="3"/>
        <rFont val="Century Gothic"/>
        <family val="2"/>
      </rPr>
      <t>Personal Financial Tool - Things to note</t>
    </r>
    <r>
      <rPr>
        <sz val="10"/>
        <color theme="3"/>
        <rFont val="Century Gothic"/>
        <family val="2"/>
      </rPr>
      <t xml:space="preserve">
</t>
    </r>
    <r>
      <rPr>
        <sz val="9"/>
        <rFont val="Century Gothic"/>
        <family val="2"/>
      </rPr>
      <t xml:space="preserve">You will notice the following features across all worksheet:
1. </t>
    </r>
    <r>
      <rPr>
        <b/>
        <i/>
        <sz val="9"/>
        <rFont val="Century Gothic"/>
        <family val="2"/>
      </rPr>
      <t xml:space="preserve">Greyed out cells </t>
    </r>
    <r>
      <rPr>
        <sz val="9"/>
        <rFont val="Century Gothic"/>
        <family val="2"/>
      </rPr>
      <t>-  this indicates that the cell is protected and you cannot enter any information on those cells. 
2. There are notes associated with the different aspects of the tool. These notes are activated when you hover a mouse over the cells with a red triangle;
3. Over/Under - this refers to the differences between the budgeted amount and the actual amount;</t>
    </r>
  </si>
  <si>
    <t>3. Saving; and</t>
  </si>
  <si>
    <t>The Personal Financial Tool constist of four sections:</t>
  </si>
  <si>
    <t>1.Monthly Budget;</t>
  </si>
  <si>
    <t>2. Financial Scorecard</t>
  </si>
  <si>
    <t>4. Interest Calculators.</t>
  </si>
  <si>
    <r>
      <t xml:space="preserve">1. MONTHLY BUDGET       
</t>
    </r>
    <r>
      <rPr>
        <sz val="10"/>
        <rFont val="Century Gothic"/>
        <family val="2"/>
      </rPr>
      <t>T</t>
    </r>
    <r>
      <rPr>
        <sz val="9"/>
        <rFont val="Century Gothic"/>
        <family val="2"/>
      </rPr>
      <t>his Tool allows you to do a monthly budget over a twelve-month cyle (January - December). 
The Monthly budgeting worksheet constist of four sections:
1. Dashboard (Percentage of income spent; Saving towards goals and Financial Scorecard);
2. Income, (which represents money coming in that month) and Expenses (money paid from your income);
3. Saving; and
4. Financial Scorecard.</t>
    </r>
  </si>
  <si>
    <t>Step1: Income</t>
  </si>
  <si>
    <t>The difference represents the difference between actual and the projected amounts. If the amount is positive, this will be represented by a corresponding indicators.</t>
  </si>
  <si>
    <t>1. Start doing your budget by entering your monthly budgeted income from all your sources, e.g. Bursary, Parents, Family member or part-time work.</t>
  </si>
  <si>
    <t>2. Now enter the actual amounts received from different sources.</t>
  </si>
  <si>
    <t>Step2: Expenses</t>
  </si>
  <si>
    <t>1. Enter all your budgeted expenses. Note, some expenses vary monthly and others are fixed.</t>
  </si>
  <si>
    <t>2. Now enter the actual amounts spent on the different expenses</t>
  </si>
  <si>
    <r>
      <t xml:space="preserve">2. FINANCIAL SCORECARD
</t>
    </r>
    <r>
      <rPr>
        <sz val="9"/>
        <rFont val="Century Gothic"/>
        <family val="2"/>
      </rPr>
      <t xml:space="preserve">Complete this scorecard every month to check how much your owe. Fill in how much you owe to each person or institution. The tool will automatically add up the amounts from each column.
- Remember you want your score to GO DOWN each month. </t>
    </r>
  </si>
  <si>
    <t>The Financial Scorecard is divided into three sections: Formal &amp; Retail; Informal and Friends and Family.
- Formal &amp; Retail (Credit granting institutions e.g. clothing stores, furniture stores or Cellphone contracts)
- Informal (Unregulated lenders e.g. Mashonisa/Loan Shark; Stokvel etc)
- Friends and Family (Family members, friends, colleagues, neighbours)
How to enter information on this section?
- First input the name of the institution/individual owed.
- Enter amount owed.
- Enter interest charged, note enter interest rate in this format e.g. 10% - under "Interest".</t>
  </si>
  <si>
    <r>
      <t xml:space="preserve">3:  Savings (Goals &amp; Emergencies) and Savings &amp; Investments
</t>
    </r>
    <r>
      <rPr>
        <sz val="9"/>
        <rFont val="Century Gothic"/>
        <family val="2"/>
      </rPr>
      <t xml:space="preserve">Now that you have paid your expenses, start allocating money toward your financial goals for the year and for emergencies. Use the "Saving" worksheet to enter your financial goals and to allocate money to those goals monthly and for emergency savings.
- First input the "description of a goal", e.g. Trip to Cape Town;                                                                                                                                                                                                                                                                                                                                                                                    
- "Budgeted Amount" is the estimated cost of a goal,                                                                                                                              
- "Amount Saved" represents the accumulated savings towards a goal,                                                                                       
-- "Outstanding Amount" indicates shortfall from a goal.           
</t>
    </r>
  </si>
  <si>
    <r>
      <t xml:space="preserve">4.  Interest Calculators
</t>
    </r>
    <r>
      <rPr>
        <sz val="9"/>
        <rFont val="Century Gothic"/>
        <family val="2"/>
      </rPr>
      <t xml:space="preserve">This section of the Tool allows you to calculate the interest cost associated with borrowing money and buying on credit.               </t>
    </r>
  </si>
  <si>
    <t xml:space="preserve">MONTHLY BUDGET </t>
  </si>
  <si>
    <r>
      <rPr>
        <sz val="10"/>
        <color theme="1"/>
        <rFont val="Century Gothic"/>
        <family val="2"/>
      </rPr>
      <t>Move from worksheet to worksheet by</t>
    </r>
    <r>
      <rPr>
        <sz val="10"/>
        <color theme="0"/>
        <rFont val="Century Gothic"/>
        <family val="2"/>
      </rPr>
      <t xml:space="preserve"> clicking the button located on each worksheet.</t>
    </r>
  </si>
  <si>
    <t>Saving &amp; Investments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</si>
</sst>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R-430]#,##0.00_);[Red]\([$R-430]#,##0.00\)"/>
    <numFmt numFmtId="167" formatCode="[$R-1C09]\ #,##0.00;[Red][$R-1C09]\ \-#,##0.00"/>
    <numFmt numFmtId="168" formatCode="_ [$R-1C09]\ * #,##0.00_ ;_ [$R-1C09]\ * \-#,##0.00_ ;_ [$R-1C09]\ * &quot;-&quot;??_ ;_ @_ "/>
    <numFmt numFmtId="169" formatCode="_(* #,##0.0000_);_(* \(#,##0.0000\);_(* &quot;-&quot;??_);_(@_)"/>
    <numFmt numFmtId="170" formatCode="_(* #,##0.000000_);_(* \(#,##0.000000\);_(* &quot;-&quot;??_);_(@_)"/>
  </numFmts>
  <fonts count="87" x14ac:knownFonts="1">
    <font>
      <sz val="9"/>
      <color theme="1"/>
      <name val="Century Gothic"/>
      <family val="2"/>
    </font>
    <font>
      <sz val="9"/>
      <color theme="1"/>
      <name val="Century Gothic"/>
      <family val="2"/>
    </font>
    <font>
      <b/>
      <sz val="9"/>
      <color theme="0"/>
      <name val="Century Gothic"/>
      <family val="2"/>
    </font>
    <font>
      <sz val="9"/>
      <color rgb="FFFF0000"/>
      <name val="Century Gothic"/>
      <family val="2"/>
    </font>
    <font>
      <b/>
      <sz val="9"/>
      <color theme="1"/>
      <name val="Century Gothic"/>
      <family val="2"/>
    </font>
    <font>
      <sz val="9"/>
      <color theme="0"/>
      <name val="Century Gothic"/>
      <family val="2"/>
    </font>
    <font>
      <sz val="11"/>
      <color theme="1"/>
      <name val="Arial"/>
      <family val="2"/>
    </font>
    <font>
      <sz val="9"/>
      <color rgb="FFFF0000"/>
      <name val="Arial"/>
      <family val="2"/>
    </font>
    <font>
      <sz val="9"/>
      <name val="Arial"/>
      <family val="2"/>
    </font>
    <font>
      <i/>
      <sz val="9"/>
      <name val="Arial"/>
      <family val="2"/>
    </font>
    <font>
      <b/>
      <sz val="9"/>
      <color rgb="FFC00000"/>
      <name val="Arial"/>
      <family val="2"/>
    </font>
    <font>
      <b/>
      <sz val="10"/>
      <color theme="0"/>
      <name val="Century Gothic"/>
      <family val="2"/>
    </font>
    <font>
      <b/>
      <sz val="11"/>
      <color theme="6" tint="-0.499984740745262"/>
      <name val="Arial"/>
      <family val="2"/>
    </font>
    <font>
      <b/>
      <sz val="10"/>
      <color theme="6" tint="-0.499984740745262"/>
      <name val="Century Gothic"/>
      <family val="2"/>
    </font>
    <font>
      <b/>
      <sz val="10"/>
      <color theme="1"/>
      <name val="Century Gothic"/>
      <family val="2"/>
    </font>
    <font>
      <i/>
      <sz val="9"/>
      <color indexed="81"/>
      <name val="Tahoma"/>
      <family val="2"/>
    </font>
    <font>
      <i/>
      <sz val="9"/>
      <color indexed="12"/>
      <name val="Tahoma"/>
      <family val="2"/>
    </font>
    <font>
      <i/>
      <sz val="8"/>
      <color indexed="81"/>
      <name val="Tahoma"/>
      <family val="2"/>
    </font>
    <font>
      <i/>
      <sz val="8"/>
      <color indexed="58"/>
      <name val="Tahoma"/>
      <family val="2"/>
    </font>
    <font>
      <sz val="9"/>
      <color indexed="81"/>
      <name val="Tahoma"/>
      <family val="2"/>
    </font>
    <font>
      <i/>
      <sz val="9"/>
      <color indexed="10"/>
      <name val="Tahoma"/>
      <family val="2"/>
    </font>
    <font>
      <b/>
      <sz val="11"/>
      <color rgb="FFFF0000"/>
      <name val="Arial"/>
      <family val="2"/>
    </font>
    <font>
      <b/>
      <sz val="10"/>
      <color rgb="FFFF0000"/>
      <name val="Century Gothic"/>
      <family val="2"/>
    </font>
    <font>
      <i/>
      <sz val="8"/>
      <color indexed="12"/>
      <name val="Tahoma"/>
      <family val="2"/>
    </font>
    <font>
      <i/>
      <sz val="8"/>
      <color indexed="10"/>
      <name val="Tahoma"/>
      <family val="2"/>
    </font>
    <font>
      <b/>
      <sz val="11"/>
      <color rgb="FF00B0F0"/>
      <name val="Arial"/>
      <family val="2"/>
    </font>
    <font>
      <b/>
      <sz val="10"/>
      <color rgb="FF00B0F0"/>
      <name val="Century Gothic"/>
      <family val="2"/>
    </font>
    <font>
      <sz val="11"/>
      <color theme="1"/>
      <name val="Calibri"/>
      <family val="2"/>
      <scheme val="minor"/>
    </font>
    <font>
      <sz val="12"/>
      <color theme="1"/>
      <name val="Century Gothic"/>
      <family val="2"/>
    </font>
    <font>
      <b/>
      <sz val="11"/>
      <color theme="0"/>
      <name val="Century Gothic"/>
      <family val="2"/>
    </font>
    <font>
      <sz val="11"/>
      <color theme="0"/>
      <name val="Century Gothic"/>
      <family val="2"/>
    </font>
    <font>
      <b/>
      <sz val="9"/>
      <color theme="1"/>
      <name val="Calibri"/>
      <family val="2"/>
      <scheme val="minor"/>
    </font>
    <font>
      <b/>
      <i/>
      <sz val="9"/>
      <color rgb="FFFF0000"/>
      <name val="Century Gothic"/>
      <family val="2"/>
    </font>
    <font>
      <sz val="9"/>
      <color theme="6" tint="-0.499984740745262"/>
      <name val="Century Gothic"/>
      <family val="2"/>
    </font>
    <font>
      <b/>
      <sz val="9"/>
      <color rgb="FFFF0000"/>
      <name val="Century Gothic"/>
      <family val="2"/>
    </font>
    <font>
      <b/>
      <sz val="11"/>
      <color theme="0"/>
      <name val="Calibri"/>
      <family val="2"/>
      <scheme val="minor"/>
    </font>
    <font>
      <b/>
      <sz val="8"/>
      <name val="Century Gothic"/>
      <family val="2"/>
    </font>
    <font>
      <b/>
      <sz val="9"/>
      <name val="Century Gothic"/>
      <family val="2"/>
    </font>
    <font>
      <b/>
      <sz val="9"/>
      <color rgb="FFFF5050"/>
      <name val="Century Gothic"/>
      <family val="2"/>
    </font>
    <font>
      <b/>
      <sz val="9"/>
      <color theme="9" tint="-0.249977111117893"/>
      <name val="Century Gothic"/>
      <family val="2"/>
    </font>
    <font>
      <b/>
      <sz val="9"/>
      <color rgb="FF0070C0"/>
      <name val="Century Gothic"/>
      <family val="2"/>
    </font>
    <font>
      <i/>
      <sz val="9"/>
      <color rgb="FF0070C0"/>
      <name val="Century Gothic"/>
      <family val="2"/>
    </font>
    <font>
      <sz val="9"/>
      <color theme="9" tint="-0.249977111117893"/>
      <name val="Century Gothic"/>
      <family val="2"/>
    </font>
    <font>
      <sz val="9"/>
      <color theme="1"/>
      <name val="Calibri"/>
      <family val="2"/>
      <scheme val="minor"/>
    </font>
    <font>
      <b/>
      <i/>
      <sz val="9"/>
      <color theme="1"/>
      <name val="Century Gothic"/>
      <family val="2"/>
    </font>
    <font>
      <b/>
      <i/>
      <sz val="9"/>
      <color indexed="9"/>
      <name val="Century Gothic"/>
      <family val="2"/>
    </font>
    <font>
      <sz val="9"/>
      <color indexed="81"/>
      <name val="Century Gothic"/>
      <family val="2"/>
    </font>
    <font>
      <b/>
      <i/>
      <sz val="9"/>
      <color indexed="81"/>
      <name val="Century Gothic"/>
      <family val="2"/>
    </font>
    <font>
      <sz val="9"/>
      <color indexed="9"/>
      <name val="Century Gothic"/>
      <family val="2"/>
    </font>
    <font>
      <b/>
      <sz val="9"/>
      <color indexed="9"/>
      <name val="Century Gothic"/>
      <family val="2"/>
    </font>
    <font>
      <b/>
      <i/>
      <sz val="10"/>
      <color theme="0"/>
      <name val="Century Gothic"/>
      <family val="2"/>
    </font>
    <font>
      <b/>
      <i/>
      <sz val="9"/>
      <color theme="6" tint="-0.249977111117893"/>
      <name val="Century Gothic"/>
      <family val="2"/>
    </font>
    <font>
      <sz val="12"/>
      <color theme="0"/>
      <name val="Century Gothic"/>
      <family val="2"/>
    </font>
    <font>
      <sz val="9"/>
      <color theme="3"/>
      <name val="Century Gothic"/>
      <family val="2"/>
    </font>
    <font>
      <sz val="9"/>
      <name val="Century Gothic"/>
      <family val="2"/>
    </font>
    <font>
      <i/>
      <sz val="9"/>
      <color indexed="81"/>
      <name val="Century Gothic"/>
      <family val="2"/>
    </font>
    <font>
      <b/>
      <sz val="9"/>
      <color indexed="81"/>
      <name val="Century Gothic"/>
      <family val="2"/>
    </font>
    <font>
      <sz val="11"/>
      <name val="Arial"/>
      <family val="2"/>
    </font>
    <font>
      <b/>
      <sz val="11"/>
      <color theme="6" tint="-0.249977111117893"/>
      <name val="Century Gothic"/>
      <family val="2"/>
    </font>
    <font>
      <b/>
      <sz val="12"/>
      <color theme="6" tint="-0.499984740745262"/>
      <name val="Century Gothic"/>
      <family val="2"/>
    </font>
    <font>
      <b/>
      <sz val="12"/>
      <color rgb="FFFF0000"/>
      <name val="Century Gothic"/>
      <family val="2"/>
    </font>
    <font>
      <b/>
      <sz val="12"/>
      <color rgb="FF0070C0"/>
      <name val="Century Gothic"/>
      <family val="2"/>
    </font>
    <font>
      <sz val="9"/>
      <color rgb="FF00B0F0"/>
      <name val="Century Gothic"/>
      <family val="2"/>
    </font>
    <font>
      <b/>
      <sz val="12"/>
      <color rgb="FF00B0F0"/>
      <name val="Century Gothic"/>
      <family val="2"/>
    </font>
    <font>
      <b/>
      <sz val="9"/>
      <color rgb="FFC00000"/>
      <name val="Century Gothic"/>
      <family val="2"/>
    </font>
    <font>
      <sz val="10"/>
      <color rgb="FFC00000"/>
      <name val="Century Gothic"/>
      <family val="2"/>
    </font>
    <font>
      <sz val="9"/>
      <color rgb="FFFF5050"/>
      <name val="Century Gothic"/>
      <family val="2"/>
    </font>
    <font>
      <sz val="9"/>
      <color theme="0"/>
      <name val="Arial"/>
      <family val="2"/>
    </font>
    <font>
      <b/>
      <sz val="9"/>
      <color theme="6" tint="-0.499984740745262"/>
      <name val="Century Gothic"/>
      <family val="2"/>
    </font>
    <font>
      <b/>
      <sz val="9"/>
      <color rgb="FF00B0F0"/>
      <name val="Century Gothic"/>
      <family val="2"/>
    </font>
    <font>
      <b/>
      <sz val="9"/>
      <color indexed="8"/>
      <name val="Century Gothic"/>
      <family val="2"/>
    </font>
    <font>
      <sz val="11"/>
      <color theme="0"/>
      <name val="Arial"/>
      <family val="2"/>
    </font>
    <font>
      <sz val="8"/>
      <color theme="0"/>
      <name val="Century Gothic"/>
      <family val="2"/>
    </font>
    <font>
      <sz val="8"/>
      <color theme="3"/>
      <name val="Century Gothic"/>
      <family val="2"/>
    </font>
    <font>
      <b/>
      <sz val="8"/>
      <color theme="0"/>
      <name val="Century Gothic"/>
      <family val="2"/>
    </font>
    <font>
      <sz val="10"/>
      <color theme="1"/>
      <name val="Century Gothic"/>
      <family val="2"/>
    </font>
    <font>
      <sz val="10"/>
      <name val="Century Gothic"/>
      <family val="2"/>
    </font>
    <font>
      <sz val="10"/>
      <color theme="0"/>
      <name val="Century Gothic"/>
      <family val="2"/>
    </font>
    <font>
      <b/>
      <sz val="9"/>
      <name val="Calibri"/>
      <family val="2"/>
      <scheme val="minor"/>
    </font>
    <font>
      <b/>
      <sz val="9"/>
      <color rgb="FFC9233C"/>
      <name val="Century Gothic"/>
      <family val="2"/>
    </font>
    <font>
      <sz val="9"/>
      <color theme="1"/>
      <name val="Arial"/>
      <family val="2"/>
    </font>
    <font>
      <sz val="11"/>
      <color theme="9"/>
      <name val="Century Gothic"/>
      <family val="2"/>
    </font>
    <font>
      <sz val="10"/>
      <color theme="3"/>
      <name val="Century Gothic"/>
      <family val="2"/>
    </font>
    <font>
      <b/>
      <sz val="10"/>
      <color theme="3"/>
      <name val="Century Gothic"/>
      <family val="2"/>
    </font>
    <font>
      <b/>
      <i/>
      <sz val="9"/>
      <name val="Century Gothic"/>
      <family val="2"/>
    </font>
    <font>
      <sz val="11"/>
      <color theme="3"/>
      <name val="Calibri"/>
      <family val="2"/>
    </font>
    <font>
      <b/>
      <sz val="11"/>
      <color theme="1"/>
      <name val="Century Gothic"/>
      <family val="2"/>
    </font>
  </fonts>
  <fills count="21">
    <fill>
      <patternFill patternType="none"/>
    </fill>
    <fill>
      <patternFill patternType="gray125"/>
    </fill>
    <fill>
      <patternFill patternType="solid">
        <fgColor rgb="FFA5A5A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C9233C"/>
        <bgColor indexed="64"/>
      </patternFill>
    </fill>
    <fill>
      <patternFill patternType="solid">
        <fgColor theme="0"/>
        <bgColor theme="0"/>
      </patternFill>
    </fill>
    <fill>
      <patternFill patternType="solid">
        <fgColor theme="0" tint="-0.14999847407452621"/>
        <bgColor indexed="64"/>
      </patternFill>
    </fill>
    <fill>
      <patternFill patternType="solid">
        <fgColor rgb="FFFF0000"/>
        <bgColor indexed="64"/>
      </patternFill>
    </fill>
    <fill>
      <patternFill patternType="solid">
        <fgColor rgb="FFFF5050"/>
        <bgColor indexed="64"/>
      </patternFill>
    </fill>
    <fill>
      <patternFill patternType="solid">
        <fgColor theme="0" tint="-0.34998626667073579"/>
        <bgColor indexed="64"/>
      </patternFill>
    </fill>
    <fill>
      <patternFill patternType="solid">
        <fgColor rgb="FF0070C0"/>
        <bgColor indexed="64"/>
      </patternFill>
    </fill>
    <fill>
      <patternFill patternType="solid">
        <fgColor rgb="FF00B0F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C00000"/>
        <bgColor indexed="64"/>
      </patternFill>
    </fill>
  </fills>
  <borders count="35">
    <border>
      <left/>
      <right/>
      <top/>
      <bottom/>
      <diagonal/>
    </border>
    <border>
      <left style="double">
        <color rgb="FF3F3F3F"/>
      </left>
      <right style="double">
        <color rgb="FF3F3F3F"/>
      </right>
      <top style="double">
        <color rgb="FF3F3F3F"/>
      </top>
      <bottom style="double">
        <color rgb="FF3F3F3F"/>
      </bottom>
      <diagonal/>
    </border>
    <border>
      <left style="dotted">
        <color theme="6" tint="-0.249977111117893"/>
      </left>
      <right/>
      <top style="dotted">
        <color theme="6" tint="-0.249977111117893"/>
      </top>
      <bottom style="dotted">
        <color theme="6" tint="-0.249977111117893"/>
      </bottom>
      <diagonal/>
    </border>
    <border>
      <left/>
      <right/>
      <top style="dotted">
        <color theme="6" tint="-0.249977111117893"/>
      </top>
      <bottom style="dotted">
        <color theme="6" tint="-0.249977111117893"/>
      </bottom>
      <diagonal/>
    </border>
    <border>
      <left/>
      <right style="dotted">
        <color theme="6" tint="-0.249977111117893"/>
      </right>
      <top style="dotted">
        <color theme="6" tint="-0.249977111117893"/>
      </top>
      <bottom style="dotted">
        <color theme="6" tint="-0.249977111117893"/>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right/>
      <top/>
      <bottom style="dotted">
        <color rgb="FF00B0F0"/>
      </bottom>
      <diagonal/>
    </border>
    <border>
      <left style="dotted">
        <color rgb="FF00B0F0"/>
      </left>
      <right style="dotted">
        <color rgb="FF00B0F0"/>
      </right>
      <top style="dotted">
        <color rgb="FF00B0F0"/>
      </top>
      <bottom style="dotted">
        <color rgb="FF00B0F0"/>
      </bottom>
      <diagonal/>
    </border>
    <border>
      <left style="dotted">
        <color rgb="FF00B0F0"/>
      </left>
      <right/>
      <top style="dotted">
        <color rgb="FF00B0F0"/>
      </top>
      <bottom style="dotted">
        <color rgb="FF00B0F0"/>
      </bottom>
      <diagonal/>
    </border>
    <border>
      <left/>
      <right/>
      <top style="thin">
        <color indexed="64"/>
      </top>
      <bottom style="medium">
        <color indexed="64"/>
      </bottom>
      <diagonal/>
    </border>
    <border>
      <left/>
      <right/>
      <top/>
      <bottom style="dotted">
        <color theme="9" tint="-0.249977111117893"/>
      </bottom>
      <diagonal/>
    </border>
    <border>
      <left style="dotted">
        <color rgb="FFFF0000"/>
      </left>
      <right style="dotted">
        <color rgb="FFFF0000"/>
      </right>
      <top style="dotted">
        <color rgb="FFFF0000"/>
      </top>
      <bottom/>
      <diagonal/>
    </border>
    <border>
      <left style="dotted">
        <color theme="9" tint="-0.249977111117893"/>
      </left>
      <right style="dotted">
        <color theme="9" tint="-0.249977111117893"/>
      </right>
      <top style="dotted">
        <color rgb="FFFF0000"/>
      </top>
      <bottom style="dotted">
        <color rgb="FFFF0000"/>
      </bottom>
      <diagonal/>
    </border>
    <border>
      <left style="dotted">
        <color theme="9" tint="-0.249977111117893"/>
      </left>
      <right/>
      <top style="dotted">
        <color rgb="FFFF0000"/>
      </top>
      <bottom style="dotted">
        <color rgb="FFFF0000"/>
      </bottom>
      <diagonal/>
    </border>
    <border>
      <left/>
      <right style="dotted">
        <color rgb="FFFF0000"/>
      </right>
      <top/>
      <bottom/>
      <diagonal/>
    </border>
    <border>
      <left/>
      <right style="dotted">
        <color rgb="FFFF0000"/>
      </right>
      <top style="dotted">
        <color theme="9" tint="-0.249977111117893"/>
      </top>
      <bottom style="dotted">
        <color rgb="FFFF0000"/>
      </bottom>
      <diagonal/>
    </border>
    <border>
      <left style="dotted">
        <color rgb="FF00B0F0"/>
      </left>
      <right style="dotted">
        <color rgb="FF00B0F0"/>
      </right>
      <top/>
      <bottom style="dotted">
        <color rgb="FF00B0F0"/>
      </bottom>
      <diagonal/>
    </border>
    <border>
      <left style="dotted">
        <color rgb="FF00B0F0"/>
      </left>
      <right/>
      <top style="dotted">
        <color rgb="FF00B0F0"/>
      </top>
      <bottom/>
      <diagonal/>
    </border>
    <border>
      <left/>
      <right/>
      <top style="dotted">
        <color rgb="FF00B0F0"/>
      </top>
      <bottom/>
      <diagonal/>
    </border>
    <border>
      <left/>
      <right style="dotted">
        <color rgb="FF00B0F0"/>
      </right>
      <top style="dotted">
        <color rgb="FF00B0F0"/>
      </top>
      <bottom/>
      <diagonal/>
    </border>
    <border>
      <left style="dotted">
        <color rgb="FF00B0F0"/>
      </left>
      <right style="dotted">
        <color rgb="FF00B0F0"/>
      </right>
      <top style="dotted">
        <color rgb="FF00B0F0"/>
      </top>
      <bottom/>
      <diagonal/>
    </border>
    <border>
      <left style="dotted">
        <color rgb="FF0070C0"/>
      </left>
      <right style="dotted">
        <color rgb="FF0070C0"/>
      </right>
      <top style="dotted">
        <color rgb="FF0070C0"/>
      </top>
      <bottom style="dotted">
        <color rgb="FF0070C0"/>
      </bottom>
      <diagonal/>
    </border>
    <border>
      <left style="dotted">
        <color rgb="FF0070C0"/>
      </left>
      <right/>
      <top style="dotted">
        <color rgb="FF0070C0"/>
      </top>
      <bottom style="dotted">
        <color rgb="FF0070C0"/>
      </bottom>
      <diagonal/>
    </border>
    <border>
      <left/>
      <right/>
      <top style="dotted">
        <color rgb="FF0070C0"/>
      </top>
      <bottom style="dotted">
        <color rgb="FF0070C0"/>
      </bottom>
      <diagonal/>
    </border>
    <border>
      <left/>
      <right style="dotted">
        <color rgb="FF0070C0"/>
      </right>
      <top style="dotted">
        <color rgb="FF0070C0"/>
      </top>
      <bottom style="dotted">
        <color rgb="FF0070C0"/>
      </bottom>
      <diagonal/>
    </border>
    <border>
      <left style="dotted">
        <color rgb="FF00B0F0"/>
      </left>
      <right/>
      <top style="dotted">
        <color rgb="FF0070C0"/>
      </top>
      <bottom style="dotted">
        <color rgb="FF0070C0"/>
      </bottom>
      <diagonal/>
    </border>
    <border>
      <left style="dotted">
        <color rgb="FF00B0F0"/>
      </left>
      <right style="dotted">
        <color rgb="FF0070C0"/>
      </right>
      <top style="dotted">
        <color rgb="FF0070C0"/>
      </top>
      <bottom style="dotted">
        <color rgb="FF0070C0"/>
      </bottom>
      <diagonal/>
    </border>
    <border>
      <left style="dotted">
        <color rgb="FF0070C0"/>
      </left>
      <right style="dotted">
        <color rgb="FF0070C0"/>
      </right>
      <top style="dotted">
        <color rgb="FF0070C0"/>
      </top>
      <bottom/>
      <diagonal/>
    </border>
    <border>
      <left style="thin">
        <color indexed="10"/>
      </left>
      <right style="thin">
        <color indexed="10"/>
      </right>
      <top style="thin">
        <color indexed="10"/>
      </top>
      <bottom style="thin">
        <color indexed="10"/>
      </bottom>
      <diagonal/>
    </border>
    <border>
      <left style="thin">
        <color rgb="FFF7093C"/>
      </left>
      <right style="thin">
        <color rgb="FFF7093C"/>
      </right>
      <top style="thin">
        <color rgb="FFF7093C"/>
      </top>
      <bottom style="thin">
        <color rgb="FFF7093C"/>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27" fillId="0" borderId="0"/>
    <xf numFmtId="9" fontId="27" fillId="0" borderId="0" applyFont="0" applyFill="0" applyBorder="0" applyAlignment="0" applyProtection="0"/>
    <xf numFmtId="0" fontId="35" fillId="2" borderId="1" applyNumberFormat="0" applyAlignment="0" applyProtection="0"/>
    <xf numFmtId="164" fontId="1" fillId="0" borderId="0" applyFont="0" applyFill="0" applyBorder="0" applyAlignment="0" applyProtection="0"/>
  </cellStyleXfs>
  <cellXfs count="286">
    <xf numFmtId="0" fontId="0" fillId="0" borderId="0" xfId="0"/>
    <xf numFmtId="0" fontId="6" fillId="3" borderId="0" xfId="0" applyFont="1" applyFill="1"/>
    <xf numFmtId="0" fontId="0" fillId="4" borderId="0" xfId="0" applyFill="1"/>
    <xf numFmtId="0" fontId="7" fillId="4" borderId="0" xfId="0" applyFont="1" applyFill="1"/>
    <xf numFmtId="0" fontId="3" fillId="4" borderId="0" xfId="0" applyFont="1" applyFill="1"/>
    <xf numFmtId="0" fontId="0" fillId="5" borderId="0" xfId="0" applyFill="1"/>
    <xf numFmtId="0" fontId="6" fillId="6" borderId="0" xfId="0" applyFont="1" applyFill="1" applyBorder="1"/>
    <xf numFmtId="0" fontId="12" fillId="7" borderId="0" xfId="0" applyFont="1" applyFill="1" applyBorder="1" applyAlignment="1">
      <alignment vertical="center"/>
    </xf>
    <xf numFmtId="0" fontId="21" fillId="4" borderId="0" xfId="0" applyFont="1" applyFill="1" applyBorder="1" applyAlignment="1">
      <alignment vertical="center"/>
    </xf>
    <xf numFmtId="0" fontId="0" fillId="8" borderId="0" xfId="0" applyFill="1"/>
    <xf numFmtId="0" fontId="28" fillId="4" borderId="0" xfId="3" applyFont="1" applyFill="1"/>
    <xf numFmtId="0" fontId="30" fillId="6" borderId="0" xfId="3" applyFont="1" applyFill="1"/>
    <xf numFmtId="0" fontId="31" fillId="4" borderId="0" xfId="3" applyFont="1" applyFill="1" applyAlignment="1">
      <alignment horizontal="left" vertical="top" wrapText="1"/>
    </xf>
    <xf numFmtId="0" fontId="31" fillId="4" borderId="0" xfId="3" applyFont="1" applyFill="1" applyBorder="1" applyAlignment="1">
      <alignment vertical="center"/>
    </xf>
    <xf numFmtId="168" fontId="34" fillId="5" borderId="15" xfId="3" applyNumberFormat="1" applyFont="1" applyFill="1" applyBorder="1" applyAlignment="1">
      <alignment horizontal="center" vertical="center"/>
    </xf>
    <xf numFmtId="0" fontId="36" fillId="5" borderId="16" xfId="5" applyFont="1" applyFill="1" applyBorder="1" applyAlignment="1">
      <alignment vertical="center"/>
    </xf>
    <xf numFmtId="168" fontId="36" fillId="5" borderId="5" xfId="5" applyNumberFormat="1" applyFont="1" applyFill="1" applyBorder="1" applyAlignment="1">
      <alignment horizontal="center" vertical="center"/>
    </xf>
    <xf numFmtId="168" fontId="36" fillId="5" borderId="5" xfId="5" applyNumberFormat="1" applyFont="1" applyFill="1" applyBorder="1"/>
    <xf numFmtId="168" fontId="3" fillId="5" borderId="0" xfId="3" applyNumberFormat="1" applyFont="1" applyFill="1" applyBorder="1"/>
    <xf numFmtId="0" fontId="29" fillId="6" borderId="14" xfId="3" applyFont="1" applyFill="1" applyBorder="1"/>
    <xf numFmtId="0" fontId="29" fillId="9" borderId="14" xfId="3" applyFont="1" applyFill="1" applyBorder="1"/>
    <xf numFmtId="0" fontId="30" fillId="9" borderId="0" xfId="3" applyFont="1" applyFill="1"/>
    <xf numFmtId="0" fontId="29" fillId="10" borderId="14" xfId="3" applyFont="1" applyFill="1" applyBorder="1"/>
    <xf numFmtId="0" fontId="30" fillId="10" borderId="0" xfId="3" applyFont="1" applyFill="1"/>
    <xf numFmtId="0" fontId="27" fillId="5" borderId="7" xfId="3" applyFill="1" applyBorder="1"/>
    <xf numFmtId="0" fontId="30" fillId="6" borderId="0" xfId="3" applyFont="1" applyFill="1" applyAlignment="1">
      <alignment horizontal="center" vertical="center"/>
    </xf>
    <xf numFmtId="0" fontId="30" fillId="9" borderId="0" xfId="3" applyFont="1" applyFill="1" applyAlignment="1">
      <alignment horizontal="center" vertical="center"/>
    </xf>
    <xf numFmtId="0" fontId="30" fillId="10" borderId="0" xfId="3" applyFont="1" applyFill="1" applyAlignment="1">
      <alignment horizontal="center" vertical="center"/>
    </xf>
    <xf numFmtId="168" fontId="41" fillId="5" borderId="0" xfId="2" applyNumberFormat="1" applyFont="1" applyFill="1" applyBorder="1"/>
    <xf numFmtId="168" fontId="3" fillId="5" borderId="17" xfId="0" applyNumberFormat="1" applyFont="1" applyFill="1" applyBorder="1"/>
    <xf numFmtId="168" fontId="42" fillId="5" borderId="0" xfId="2" applyNumberFormat="1" applyFont="1" applyFill="1" applyBorder="1"/>
    <xf numFmtId="168" fontId="3" fillId="5" borderId="0" xfId="2" applyNumberFormat="1" applyFont="1" applyFill="1" applyBorder="1"/>
    <xf numFmtId="168" fontId="32" fillId="5" borderId="18" xfId="5" applyNumberFormat="1" applyFont="1" applyFill="1" applyBorder="1"/>
    <xf numFmtId="0" fontId="43" fillId="5" borderId="7" xfId="3" applyFont="1" applyFill="1" applyBorder="1"/>
    <xf numFmtId="0" fontId="37" fillId="5" borderId="16" xfId="5" applyFont="1" applyFill="1" applyBorder="1" applyAlignment="1">
      <alignment vertical="center"/>
    </xf>
    <xf numFmtId="168" fontId="37" fillId="5" borderId="5" xfId="5" applyNumberFormat="1" applyFont="1" applyFill="1" applyBorder="1" applyAlignment="1">
      <alignment horizontal="center" vertical="center"/>
    </xf>
    <xf numFmtId="168" fontId="37" fillId="5" borderId="5" xfId="5" applyNumberFormat="1" applyFont="1" applyFill="1" applyBorder="1"/>
    <xf numFmtId="168" fontId="4" fillId="5" borderId="5" xfId="0" applyNumberFormat="1" applyFont="1" applyFill="1" applyBorder="1"/>
    <xf numFmtId="0" fontId="4" fillId="5" borderId="6" xfId="3" applyFont="1" applyFill="1" applyBorder="1" applyAlignment="1">
      <alignment wrapText="1"/>
    </xf>
    <xf numFmtId="0" fontId="4" fillId="5" borderId="5" xfId="3" applyFont="1" applyFill="1" applyBorder="1" applyAlignment="1">
      <alignment horizontal="left" vertical="center"/>
    </xf>
    <xf numFmtId="0" fontId="38" fillId="5" borderId="5" xfId="3" applyFont="1" applyFill="1" applyBorder="1" applyAlignment="1">
      <alignment horizontal="left" vertical="center" wrapText="1"/>
    </xf>
    <xf numFmtId="0" fontId="4" fillId="5" borderId="5" xfId="3" applyFont="1" applyFill="1" applyBorder="1" applyAlignment="1">
      <alignment horizontal="left" vertical="center" wrapText="1"/>
    </xf>
    <xf numFmtId="0" fontId="34" fillId="5" borderId="5" xfId="3" applyFont="1" applyFill="1" applyBorder="1" applyAlignment="1">
      <alignment horizontal="left" vertical="center" wrapText="1"/>
    </xf>
    <xf numFmtId="0" fontId="39" fillId="5" borderId="8" xfId="3" applyFont="1" applyFill="1" applyBorder="1" applyAlignment="1">
      <alignment horizontal="left" vertical="center" wrapText="1"/>
    </xf>
    <xf numFmtId="0" fontId="32" fillId="5" borderId="8" xfId="3" applyFont="1" applyFill="1" applyBorder="1" applyAlignment="1">
      <alignment horizontal="left" vertical="center" wrapText="1"/>
    </xf>
    <xf numFmtId="0" fontId="4" fillId="5" borderId="0" xfId="0" applyFont="1" applyFill="1"/>
    <xf numFmtId="0" fontId="0" fillId="11" borderId="0" xfId="0" applyFill="1"/>
    <xf numFmtId="168" fontId="40" fillId="5" borderId="5" xfId="1" applyNumberFormat="1" applyFont="1" applyFill="1" applyBorder="1"/>
    <xf numFmtId="0" fontId="2" fillId="12" borderId="10" xfId="3" applyFont="1" applyFill="1" applyBorder="1" applyAlignment="1">
      <alignment vertical="center"/>
    </xf>
    <xf numFmtId="0" fontId="29" fillId="12" borderId="21" xfId="3" applyFont="1" applyFill="1" applyBorder="1" applyAlignment="1">
      <alignment horizontal="center" vertical="center"/>
    </xf>
    <xf numFmtId="0" fontId="30" fillId="12" borderId="21" xfId="3" applyFont="1" applyFill="1" applyBorder="1"/>
    <xf numFmtId="0" fontId="30" fillId="12" borderId="22" xfId="3" applyFont="1" applyFill="1" applyBorder="1"/>
    <xf numFmtId="0" fontId="2" fillId="12" borderId="10" xfId="3" applyFont="1" applyFill="1" applyBorder="1" applyAlignment="1">
      <alignment vertical="center" wrapText="1"/>
    </xf>
    <xf numFmtId="0" fontId="50" fillId="12" borderId="11" xfId="3" applyFont="1" applyFill="1" applyBorder="1" applyAlignment="1">
      <alignment horizontal="center" vertical="center"/>
    </xf>
    <xf numFmtId="0" fontId="50" fillId="12" borderId="10" xfId="3" applyFont="1" applyFill="1" applyBorder="1" applyAlignment="1">
      <alignment horizontal="center" vertical="center"/>
    </xf>
    <xf numFmtId="0" fontId="4" fillId="8" borderId="10" xfId="3" applyFont="1" applyFill="1" applyBorder="1" applyAlignment="1">
      <alignment wrapText="1"/>
    </xf>
    <xf numFmtId="168" fontId="34" fillId="8" borderId="10" xfId="3" applyNumberFormat="1" applyFont="1" applyFill="1" applyBorder="1" applyAlignment="1">
      <alignment horizontal="center" vertical="center"/>
    </xf>
    <xf numFmtId="0" fontId="43" fillId="8" borderId="10" xfId="3" applyFont="1" applyFill="1" applyBorder="1" applyAlignment="1">
      <alignment horizontal="center" vertical="center"/>
    </xf>
    <xf numFmtId="0" fontId="37" fillId="8" borderId="10" xfId="5" applyFont="1" applyFill="1" applyBorder="1" applyAlignment="1">
      <alignment horizontal="center" vertical="center"/>
    </xf>
    <xf numFmtId="168" fontId="37" fillId="8" borderId="10" xfId="5" applyNumberFormat="1" applyFont="1" applyFill="1" applyBorder="1" applyAlignment="1">
      <alignment horizontal="center" vertical="center"/>
    </xf>
    <xf numFmtId="168" fontId="4" fillId="8" borderId="10" xfId="0" applyNumberFormat="1" applyFont="1" applyFill="1" applyBorder="1" applyAlignment="1">
      <alignment horizontal="center" vertical="center"/>
    </xf>
    <xf numFmtId="0" fontId="2" fillId="13" borderId="24" xfId="3" applyFont="1" applyFill="1" applyBorder="1" applyAlignment="1">
      <alignment horizontal="left" vertical="center" wrapText="1"/>
    </xf>
    <xf numFmtId="0" fontId="2" fillId="13" borderId="24" xfId="3" applyFont="1" applyFill="1" applyBorder="1" applyAlignment="1">
      <alignment vertical="center" wrapText="1"/>
    </xf>
    <xf numFmtId="0" fontId="30" fillId="13" borderId="25" xfId="3" applyFont="1" applyFill="1" applyBorder="1"/>
    <xf numFmtId="0" fontId="30" fillId="13" borderId="26" xfId="3" applyFont="1" applyFill="1" applyBorder="1"/>
    <xf numFmtId="0" fontId="30" fillId="13" borderId="27" xfId="3" applyFont="1" applyFill="1" applyBorder="1"/>
    <xf numFmtId="0" fontId="50" fillId="13" borderId="25" xfId="3" applyFont="1" applyFill="1" applyBorder="1" applyAlignment="1">
      <alignment horizontal="center" vertical="center"/>
    </xf>
    <xf numFmtId="0" fontId="50" fillId="13" borderId="28" xfId="3" applyFont="1" applyFill="1" applyBorder="1" applyAlignment="1">
      <alignment horizontal="center" vertical="center"/>
    </xf>
    <xf numFmtId="0" fontId="50" fillId="13" borderId="29" xfId="3" applyFont="1" applyFill="1" applyBorder="1" applyAlignment="1">
      <alignment horizontal="center" vertical="center"/>
    </xf>
    <xf numFmtId="0" fontId="29" fillId="13" borderId="26" xfId="3" applyFont="1" applyFill="1" applyBorder="1" applyAlignment="1">
      <alignment horizontal="center" vertical="center"/>
    </xf>
    <xf numFmtId="0" fontId="4" fillId="8" borderId="24" xfId="3" applyFont="1" applyFill="1" applyBorder="1" applyAlignment="1">
      <alignment wrapText="1"/>
    </xf>
    <xf numFmtId="168" fontId="34" fillId="8" borderId="24" xfId="3" applyNumberFormat="1" applyFont="1" applyFill="1" applyBorder="1" applyAlignment="1">
      <alignment horizontal="center" vertical="center"/>
    </xf>
    <xf numFmtId="0" fontId="43" fillId="8" borderId="24" xfId="3" applyFont="1" applyFill="1" applyBorder="1" applyAlignment="1">
      <alignment horizontal="center" vertical="center"/>
    </xf>
    <xf numFmtId="0" fontId="37" fillId="8" borderId="24" xfId="5" applyFont="1" applyFill="1" applyBorder="1" applyAlignment="1">
      <alignment horizontal="center" vertical="center"/>
    </xf>
    <xf numFmtId="168" fontId="37" fillId="8" borderId="24" xfId="5" applyNumberFormat="1" applyFont="1" applyFill="1" applyBorder="1" applyAlignment="1">
      <alignment horizontal="center" vertical="center"/>
    </xf>
    <xf numFmtId="168" fontId="51" fillId="8" borderId="10" xfId="5" applyNumberFormat="1" applyFont="1" applyFill="1" applyBorder="1" applyAlignment="1">
      <alignment horizontal="center" vertical="center"/>
    </xf>
    <xf numFmtId="0" fontId="28" fillId="13" borderId="0" xfId="3" applyFont="1" applyFill="1"/>
    <xf numFmtId="0" fontId="28" fillId="12" borderId="0" xfId="3" applyFont="1" applyFill="1"/>
    <xf numFmtId="0" fontId="52" fillId="12" borderId="0" xfId="3" applyFont="1" applyFill="1"/>
    <xf numFmtId="0" fontId="52" fillId="13" borderId="0" xfId="3" applyFont="1" applyFill="1"/>
    <xf numFmtId="168" fontId="53" fillId="8" borderId="0" xfId="2" applyNumberFormat="1" applyFont="1" applyFill="1"/>
    <xf numFmtId="168" fontId="0" fillId="8" borderId="0" xfId="0" applyNumberFormat="1" applyFill="1"/>
    <xf numFmtId="168" fontId="54" fillId="8" borderId="0" xfId="0" applyNumberFormat="1" applyFont="1" applyFill="1"/>
    <xf numFmtId="168" fontId="39" fillId="8" borderId="10" xfId="1" applyNumberFormat="1" applyFont="1" applyFill="1" applyBorder="1" applyAlignment="1">
      <alignment horizontal="center" vertical="center"/>
    </xf>
    <xf numFmtId="9" fontId="0" fillId="8" borderId="0" xfId="2" applyFont="1" applyFill="1" applyAlignment="1">
      <alignment horizontal="center" vertical="center"/>
    </xf>
    <xf numFmtId="9" fontId="4" fillId="8" borderId="10" xfId="2" applyFont="1" applyFill="1" applyBorder="1" applyAlignment="1">
      <alignment horizontal="center" vertical="center"/>
    </xf>
    <xf numFmtId="9" fontId="1" fillId="5" borderId="7" xfId="2" applyFont="1" applyFill="1" applyBorder="1" applyAlignment="1">
      <alignment horizontal="center" vertical="center"/>
    </xf>
    <xf numFmtId="9" fontId="0" fillId="5" borderId="0" xfId="2" applyFont="1" applyFill="1" applyBorder="1" applyAlignment="1">
      <alignment horizontal="center" vertical="center"/>
    </xf>
    <xf numFmtId="0" fontId="1" fillId="4" borderId="5" xfId="3" applyFont="1" applyFill="1" applyBorder="1" applyProtection="1">
      <protection locked="0"/>
    </xf>
    <xf numFmtId="168" fontId="1" fillId="4" borderId="0" xfId="3" applyNumberFormat="1" applyFont="1" applyFill="1" applyBorder="1" applyProtection="1">
      <protection locked="0"/>
    </xf>
    <xf numFmtId="9" fontId="3" fillId="4" borderId="0" xfId="2" applyFont="1" applyFill="1" applyBorder="1" applyAlignment="1" applyProtection="1">
      <alignment horizontal="center" vertical="center"/>
      <protection locked="0"/>
    </xf>
    <xf numFmtId="0" fontId="1" fillId="4" borderId="0" xfId="3" applyFont="1" applyFill="1" applyBorder="1" applyAlignment="1" applyProtection="1">
      <alignment horizontal="center" vertical="center"/>
      <protection locked="0"/>
    </xf>
    <xf numFmtId="168" fontId="33" fillId="4" borderId="0" xfId="3" applyNumberFormat="1" applyFont="1" applyFill="1" applyBorder="1" applyAlignment="1" applyProtection="1">
      <alignment horizontal="center" vertical="center"/>
      <protection locked="0"/>
    </xf>
    <xf numFmtId="168" fontId="1" fillId="4" borderId="0" xfId="3" applyNumberFormat="1" applyFont="1" applyFill="1" applyBorder="1" applyAlignment="1" applyProtection="1">
      <alignment horizontal="center" vertical="center"/>
      <protection locked="0"/>
    </xf>
    <xf numFmtId="0" fontId="0" fillId="0" borderId="10" xfId="0" applyBorder="1" applyProtection="1">
      <protection locked="0"/>
    </xf>
    <xf numFmtId="168" fontId="53" fillId="4" borderId="0" xfId="3" applyNumberFormat="1" applyFont="1" applyFill="1" applyBorder="1" applyProtection="1">
      <protection locked="0"/>
    </xf>
    <xf numFmtId="0" fontId="0" fillId="4" borderId="0" xfId="0" applyFill="1" applyAlignment="1" applyProtection="1">
      <alignment horizontal="center"/>
      <protection locked="0"/>
    </xf>
    <xf numFmtId="0" fontId="0" fillId="0" borderId="23" xfId="0" applyBorder="1" applyProtection="1">
      <protection locked="0"/>
    </xf>
    <xf numFmtId="9" fontId="1" fillId="4" borderId="0" xfId="2" applyFont="1" applyFill="1" applyBorder="1" applyAlignment="1" applyProtection="1">
      <alignment horizontal="center" vertical="center"/>
      <protection locked="0"/>
    </xf>
    <xf numFmtId="168" fontId="0" fillId="4" borderId="0" xfId="0" applyNumberFormat="1" applyFill="1" applyProtection="1">
      <protection locked="0"/>
    </xf>
    <xf numFmtId="0" fontId="5" fillId="12" borderId="10" xfId="3" applyFont="1" applyFill="1" applyBorder="1" applyAlignment="1">
      <alignment vertical="center" wrapText="1"/>
    </xf>
    <xf numFmtId="0" fontId="5" fillId="13" borderId="24" xfId="3" applyFont="1" applyFill="1" applyBorder="1" applyAlignment="1">
      <alignment horizontal="left" vertical="center" wrapText="1"/>
    </xf>
    <xf numFmtId="9" fontId="4" fillId="5" borderId="8" xfId="2" applyFont="1" applyFill="1" applyBorder="1" applyAlignment="1">
      <alignment horizontal="center" vertical="center"/>
    </xf>
    <xf numFmtId="0" fontId="5" fillId="0" borderId="0" xfId="0" applyFont="1"/>
    <xf numFmtId="0" fontId="5" fillId="0" borderId="0" xfId="0" applyFont="1" applyProtection="1">
      <protection hidden="1"/>
    </xf>
    <xf numFmtId="0" fontId="5" fillId="0" borderId="0" xfId="0" applyFont="1" applyAlignment="1" applyProtection="1">
      <alignment wrapText="1"/>
      <protection hidden="1"/>
    </xf>
    <xf numFmtId="9" fontId="5" fillId="0" borderId="0" xfId="2" applyFont="1" applyAlignment="1" applyProtection="1">
      <alignment horizontal="center" vertical="center"/>
      <protection hidden="1"/>
    </xf>
    <xf numFmtId="9" fontId="5" fillId="4" borderId="0" xfId="2" applyFont="1" applyFill="1" applyAlignment="1" applyProtection="1">
      <alignment horizontal="center" vertical="center"/>
      <protection hidden="1"/>
    </xf>
    <xf numFmtId="168" fontId="5" fillId="0" borderId="0" xfId="0" applyNumberFormat="1" applyFont="1" applyProtection="1">
      <protection hidden="1"/>
    </xf>
    <xf numFmtId="0" fontId="0" fillId="0" borderId="0" xfId="0" applyProtection="1">
      <protection hidden="1"/>
    </xf>
    <xf numFmtId="168" fontId="0" fillId="5" borderId="0" xfId="6" applyNumberFormat="1" applyFont="1" applyFill="1"/>
    <xf numFmtId="0" fontId="2" fillId="12" borderId="0" xfId="0" applyFont="1" applyFill="1"/>
    <xf numFmtId="0" fontId="2" fillId="13" borderId="0" xfId="0" applyFont="1" applyFill="1"/>
    <xf numFmtId="168" fontId="2" fillId="13" borderId="12" xfId="0" applyNumberFormat="1" applyFont="1" applyFill="1" applyBorder="1" applyAlignment="1">
      <alignment horizontal="center" vertical="center"/>
    </xf>
    <xf numFmtId="168" fontId="2" fillId="12" borderId="12" xfId="0" applyNumberFormat="1" applyFont="1" applyFill="1" applyBorder="1"/>
    <xf numFmtId="0" fontId="5" fillId="4" borderId="0" xfId="0" applyFont="1" applyFill="1"/>
    <xf numFmtId="0" fontId="54" fillId="4" borderId="0" xfId="0" applyFont="1" applyFill="1"/>
    <xf numFmtId="0" fontId="57" fillId="4" borderId="0" xfId="0" applyFont="1" applyFill="1"/>
    <xf numFmtId="167" fontId="54" fillId="4" borderId="0" xfId="0" applyNumberFormat="1" applyFont="1" applyFill="1"/>
    <xf numFmtId="168" fontId="58" fillId="5" borderId="0" xfId="0" applyNumberFormat="1" applyFont="1" applyFill="1"/>
    <xf numFmtId="168" fontId="59" fillId="5" borderId="0" xfId="0" applyNumberFormat="1" applyFont="1" applyFill="1"/>
    <xf numFmtId="168" fontId="3" fillId="5" borderId="0" xfId="0" applyNumberFormat="1" applyFont="1" applyFill="1"/>
    <xf numFmtId="168" fontId="60" fillId="5" borderId="0" xfId="0" applyNumberFormat="1" applyFont="1" applyFill="1"/>
    <xf numFmtId="0" fontId="61" fillId="5" borderId="0" xfId="0" applyFont="1" applyFill="1"/>
    <xf numFmtId="168" fontId="61" fillId="5" borderId="0" xfId="0" applyNumberFormat="1" applyFont="1" applyFill="1"/>
    <xf numFmtId="0" fontId="62" fillId="5" borderId="0" xfId="0" applyFont="1" applyFill="1"/>
    <xf numFmtId="168" fontId="63" fillId="5" borderId="0" xfId="0" applyNumberFormat="1" applyFont="1" applyFill="1"/>
    <xf numFmtId="0" fontId="60" fillId="5" borderId="0" xfId="0" applyFont="1" applyFill="1"/>
    <xf numFmtId="0" fontId="34" fillId="5" borderId="0" xfId="0" applyFont="1" applyFill="1"/>
    <xf numFmtId="0" fontId="64" fillId="5" borderId="0" xfId="0" applyFont="1" applyFill="1"/>
    <xf numFmtId="168" fontId="65" fillId="5" borderId="0" xfId="0" applyNumberFormat="1" applyFont="1" applyFill="1"/>
    <xf numFmtId="0" fontId="38" fillId="5" borderId="0" xfId="0" applyFont="1" applyFill="1"/>
    <xf numFmtId="168" fontId="66" fillId="5" borderId="0" xfId="0" applyNumberFormat="1" applyFont="1" applyFill="1"/>
    <xf numFmtId="0" fontId="0" fillId="14" borderId="0" xfId="0" applyFill="1"/>
    <xf numFmtId="0" fontId="67" fillId="3" borderId="0" xfId="0" applyFont="1" applyFill="1"/>
    <xf numFmtId="0" fontId="0" fillId="3" borderId="0" xfId="0" applyFill="1"/>
    <xf numFmtId="168" fontId="34" fillId="5" borderId="13" xfId="3" applyNumberFormat="1" applyFont="1" applyFill="1" applyBorder="1"/>
    <xf numFmtId="0" fontId="13" fillId="5" borderId="0" xfId="0" applyFont="1" applyFill="1"/>
    <xf numFmtId="168" fontId="59" fillId="5" borderId="0" xfId="0" applyNumberFormat="1" applyFont="1" applyFill="1" applyAlignment="1">
      <alignment horizontal="left" vertical="top"/>
    </xf>
    <xf numFmtId="0" fontId="6" fillId="9" borderId="0" xfId="0" applyFont="1" applyFill="1" applyBorder="1"/>
    <xf numFmtId="166" fontId="0" fillId="5" borderId="0" xfId="0" applyNumberFormat="1" applyFont="1" applyFill="1" applyAlignment="1">
      <alignment horizontal="center" vertical="center"/>
    </xf>
    <xf numFmtId="0" fontId="0" fillId="4" borderId="0" xfId="0" applyFont="1" applyFill="1"/>
    <xf numFmtId="0" fontId="0" fillId="4" borderId="0" xfId="0" applyFont="1" applyFill="1" applyProtection="1">
      <protection locked="0"/>
    </xf>
    <xf numFmtId="167" fontId="0" fillId="4" borderId="0" xfId="0" applyNumberFormat="1" applyFont="1" applyFill="1" applyAlignment="1" applyProtection="1">
      <alignment horizontal="center" vertical="center"/>
      <protection locked="0"/>
    </xf>
    <xf numFmtId="167" fontId="0" fillId="5" borderId="0" xfId="0" applyNumberFormat="1" applyFont="1" applyFill="1" applyAlignment="1">
      <alignment horizontal="center" vertical="center"/>
    </xf>
    <xf numFmtId="0" fontId="0" fillId="5" borderId="0" xfId="0" applyNumberFormat="1" applyFont="1" applyFill="1"/>
    <xf numFmtId="168" fontId="0" fillId="5" borderId="0" xfId="0" applyNumberFormat="1" applyFont="1" applyFill="1"/>
    <xf numFmtId="0" fontId="0" fillId="4" borderId="0" xfId="0" applyFont="1" applyFill="1" applyAlignment="1" applyProtection="1">
      <alignment wrapText="1"/>
      <protection locked="0"/>
    </xf>
    <xf numFmtId="0" fontId="0" fillId="5" borderId="0" xfId="0" applyFont="1" applyFill="1"/>
    <xf numFmtId="0" fontId="4" fillId="5" borderId="12" xfId="0" applyFont="1" applyFill="1" applyBorder="1" applyAlignment="1">
      <alignment vertical="center"/>
    </xf>
    <xf numFmtId="166" fontId="4" fillId="5" borderId="12" xfId="0" applyNumberFormat="1" applyFont="1" applyFill="1" applyBorder="1" applyAlignment="1">
      <alignment horizontal="center" vertical="center"/>
    </xf>
    <xf numFmtId="166" fontId="68" fillId="5" borderId="12" xfId="0" applyNumberFormat="1" applyFont="1" applyFill="1" applyBorder="1" applyAlignment="1">
      <alignment horizontal="center" vertical="center"/>
    </xf>
    <xf numFmtId="0" fontId="0" fillId="14" borderId="0" xfId="0" applyFont="1" applyFill="1"/>
    <xf numFmtId="0" fontId="0" fillId="4" borderId="0" xfId="0" applyFont="1" applyFill="1" applyAlignment="1" applyProtection="1">
      <alignment vertical="center" wrapText="1"/>
      <protection locked="0"/>
    </xf>
    <xf numFmtId="0" fontId="4" fillId="5" borderId="12" xfId="0" applyFont="1" applyFill="1" applyBorder="1"/>
    <xf numFmtId="167" fontId="4" fillId="5" borderId="12" xfId="0" applyNumberFormat="1" applyFont="1" applyFill="1" applyBorder="1" applyAlignment="1">
      <alignment horizontal="center" vertical="center"/>
    </xf>
    <xf numFmtId="167" fontId="34" fillId="5" borderId="12" xfId="0" applyNumberFormat="1" applyFont="1" applyFill="1" applyBorder="1" applyAlignment="1">
      <alignment horizontal="center" vertical="center"/>
    </xf>
    <xf numFmtId="0" fontId="68"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34" fillId="4" borderId="6" xfId="0" applyFont="1" applyFill="1" applyBorder="1" applyAlignment="1">
      <alignment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69" fillId="4" borderId="11" xfId="0" applyFont="1" applyFill="1" applyBorder="1" applyAlignment="1">
      <alignment vertical="center" wrapText="1"/>
    </xf>
    <xf numFmtId="0" fontId="4" fillId="4" borderId="21" xfId="0" applyFont="1" applyFill="1" applyBorder="1" applyAlignment="1">
      <alignment vertical="center"/>
    </xf>
    <xf numFmtId="0" fontId="4" fillId="4" borderId="22" xfId="0" applyFont="1" applyFill="1" applyBorder="1" applyAlignment="1">
      <alignment vertical="center"/>
    </xf>
    <xf numFmtId="166" fontId="0" fillId="4" borderId="0" xfId="0" applyNumberFormat="1" applyFont="1" applyFill="1" applyAlignment="1" applyProtection="1">
      <alignment horizontal="center"/>
      <protection locked="0"/>
    </xf>
    <xf numFmtId="166" fontId="0" fillId="4" borderId="0" xfId="0" applyNumberFormat="1" applyFont="1" applyFill="1" applyAlignment="1" applyProtection="1">
      <alignment horizontal="center" vertical="center"/>
      <protection locked="0"/>
    </xf>
    <xf numFmtId="0" fontId="0" fillId="4" borderId="0" xfId="0" applyFont="1" applyFill="1" applyAlignment="1" applyProtection="1">
      <alignment horizontal="left" vertical="center"/>
      <protection locked="0"/>
    </xf>
    <xf numFmtId="0" fontId="0" fillId="4" borderId="0" xfId="0" applyFont="1" applyFill="1" applyAlignment="1" applyProtection="1">
      <alignment vertical="center"/>
      <protection locked="0"/>
    </xf>
    <xf numFmtId="0" fontId="4" fillId="0" borderId="0" xfId="0" applyFont="1"/>
    <xf numFmtId="0" fontId="70" fillId="0" borderId="0" xfId="0" applyFont="1"/>
    <xf numFmtId="167" fontId="5" fillId="14" borderId="0" xfId="0" applyNumberFormat="1" applyFont="1" applyFill="1" applyAlignment="1" applyProtection="1">
      <alignment horizontal="center" vertical="center"/>
    </xf>
    <xf numFmtId="0" fontId="12" fillId="7" borderId="0" xfId="0" applyFont="1" applyFill="1" applyBorder="1" applyAlignment="1" applyProtection="1">
      <alignment vertical="center"/>
    </xf>
    <xf numFmtId="0" fontId="0" fillId="4" borderId="0" xfId="0" applyFill="1" applyProtection="1"/>
    <xf numFmtId="0" fontId="21" fillId="4" borderId="0" xfId="0" applyFont="1" applyFill="1" applyBorder="1" applyAlignment="1" applyProtection="1">
      <alignment vertical="center"/>
    </xf>
    <xf numFmtId="0" fontId="13" fillId="4" borderId="2" xfId="0" applyFont="1" applyFill="1" applyBorder="1" applyAlignment="1" applyProtection="1">
      <alignment vertical="center"/>
    </xf>
    <xf numFmtId="0" fontId="14" fillId="4" borderId="3" xfId="0" applyFont="1" applyFill="1" applyBorder="1" applyAlignment="1" applyProtection="1">
      <alignment vertical="center"/>
    </xf>
    <xf numFmtId="0" fontId="14" fillId="4" borderId="4" xfId="0" applyFont="1" applyFill="1" applyBorder="1" applyAlignment="1" applyProtection="1">
      <alignment vertical="center"/>
    </xf>
    <xf numFmtId="0" fontId="22" fillId="4" borderId="6" xfId="0" applyFont="1" applyFill="1" applyBorder="1" applyAlignment="1" applyProtection="1">
      <alignment vertical="center"/>
    </xf>
    <xf numFmtId="0" fontId="14" fillId="4" borderId="7" xfId="0" applyFont="1" applyFill="1" applyBorder="1" applyAlignment="1" applyProtection="1">
      <alignment horizontal="center" vertical="center"/>
    </xf>
    <xf numFmtId="0" fontId="14" fillId="4" borderId="8" xfId="0" applyFont="1" applyFill="1" applyBorder="1" applyAlignment="1" applyProtection="1">
      <alignment horizontal="center" vertical="center"/>
    </xf>
    <xf numFmtId="0" fontId="26" fillId="4" borderId="11" xfId="0" applyFont="1" applyFill="1" applyBorder="1" applyAlignment="1" applyProtection="1">
      <alignment vertical="center" wrapText="1"/>
    </xf>
    <xf numFmtId="0" fontId="14" fillId="4" borderId="21" xfId="0" applyFont="1" applyFill="1" applyBorder="1" applyAlignment="1" applyProtection="1">
      <alignment vertical="center"/>
    </xf>
    <xf numFmtId="0" fontId="14" fillId="4" borderId="22" xfId="0" applyFont="1" applyFill="1" applyBorder="1" applyAlignment="1" applyProtection="1">
      <alignment vertical="center"/>
    </xf>
    <xf numFmtId="0" fontId="5" fillId="14" borderId="0" xfId="0" applyFont="1" applyFill="1" applyAlignment="1" applyProtection="1">
      <alignment wrapText="1"/>
    </xf>
    <xf numFmtId="166" fontId="5" fillId="14" borderId="0" xfId="0" applyNumberFormat="1" applyFont="1" applyFill="1" applyAlignment="1" applyProtection="1">
      <alignment horizontal="center"/>
    </xf>
    <xf numFmtId="166" fontId="0" fillId="5" borderId="0" xfId="0" applyNumberFormat="1" applyFont="1" applyFill="1" applyAlignment="1" applyProtection="1">
      <alignment horizontal="center" vertical="center"/>
    </xf>
    <xf numFmtId="0" fontId="0" fillId="4" borderId="0" xfId="0" applyFont="1" applyFill="1" applyProtection="1"/>
    <xf numFmtId="0" fontId="5" fillId="14" borderId="0" xfId="0" applyFont="1" applyFill="1" applyProtection="1"/>
    <xf numFmtId="167" fontId="0" fillId="5" borderId="0" xfId="0" applyNumberFormat="1" applyFont="1" applyFill="1" applyAlignment="1" applyProtection="1">
      <alignment horizontal="center" vertical="center"/>
    </xf>
    <xf numFmtId="0" fontId="2" fillId="13" borderId="0" xfId="0" applyFont="1" applyFill="1" applyProtection="1"/>
    <xf numFmtId="168" fontId="2" fillId="13" borderId="12" xfId="0" applyNumberFormat="1" applyFont="1" applyFill="1" applyBorder="1" applyAlignment="1" applyProtection="1">
      <alignment horizontal="center" vertical="center"/>
    </xf>
    <xf numFmtId="0" fontId="0" fillId="5" borderId="0" xfId="0" applyNumberFormat="1" applyFont="1" applyFill="1" applyProtection="1"/>
    <xf numFmtId="168" fontId="0" fillId="5" borderId="0" xfId="0" applyNumberFormat="1" applyFont="1" applyFill="1" applyProtection="1"/>
    <xf numFmtId="168" fontId="0" fillId="5" borderId="0" xfId="6" applyNumberFormat="1" applyFont="1" applyFill="1" applyProtection="1"/>
    <xf numFmtId="0" fontId="5" fillId="14" borderId="0" xfId="0" applyFont="1" applyFill="1" applyAlignment="1" applyProtection="1">
      <alignment horizontal="left" vertical="center"/>
    </xf>
    <xf numFmtId="0" fontId="5" fillId="14" borderId="0" xfId="0" applyFont="1" applyFill="1" applyAlignment="1" applyProtection="1">
      <alignment vertical="center"/>
    </xf>
    <xf numFmtId="0" fontId="2" fillId="12" borderId="0" xfId="0" applyFont="1" applyFill="1" applyProtection="1"/>
    <xf numFmtId="168" fontId="2" fillId="12" borderId="12" xfId="0" applyNumberFormat="1" applyFont="1" applyFill="1" applyBorder="1" applyProtection="1"/>
    <xf numFmtId="0" fontId="0" fillId="5" borderId="0" xfId="0" applyFont="1" applyFill="1" applyProtection="1"/>
    <xf numFmtId="0" fontId="4" fillId="5" borderId="12" xfId="0" applyFont="1" applyFill="1" applyBorder="1" applyAlignment="1" applyProtection="1">
      <alignment vertical="center"/>
    </xf>
    <xf numFmtId="166" fontId="4" fillId="5" borderId="12" xfId="0" applyNumberFormat="1" applyFont="1" applyFill="1" applyBorder="1" applyAlignment="1" applyProtection="1">
      <alignment horizontal="center" vertical="center"/>
    </xf>
    <xf numFmtId="166" fontId="68" fillId="5" borderId="12" xfId="0" applyNumberFormat="1" applyFont="1" applyFill="1" applyBorder="1" applyAlignment="1" applyProtection="1">
      <alignment horizontal="center" vertical="center"/>
    </xf>
    <xf numFmtId="0" fontId="0" fillId="14" borderId="0" xfId="0" applyFont="1" applyFill="1" applyProtection="1"/>
    <xf numFmtId="0" fontId="5" fillId="14" borderId="0" xfId="0" applyFont="1" applyFill="1" applyAlignment="1" applyProtection="1">
      <alignment vertical="center" wrapText="1"/>
    </xf>
    <xf numFmtId="0" fontId="4" fillId="5" borderId="12" xfId="0" applyFont="1" applyFill="1" applyBorder="1" applyProtection="1"/>
    <xf numFmtId="167" fontId="4" fillId="5" borderId="12" xfId="0" applyNumberFormat="1" applyFont="1" applyFill="1" applyBorder="1" applyAlignment="1" applyProtection="1">
      <alignment horizontal="center" vertical="center"/>
    </xf>
    <xf numFmtId="167" fontId="34" fillId="5" borderId="12" xfId="0" applyNumberFormat="1" applyFont="1" applyFill="1" applyBorder="1" applyAlignment="1" applyProtection="1">
      <alignment horizontal="center" vertical="center"/>
    </xf>
    <xf numFmtId="0" fontId="71" fillId="4" borderId="0" xfId="0" applyFont="1" applyFill="1"/>
    <xf numFmtId="9" fontId="71" fillId="4" borderId="0" xfId="0" applyNumberFormat="1" applyFont="1" applyFill="1"/>
    <xf numFmtId="10" fontId="71" fillId="4" borderId="0" xfId="0" applyNumberFormat="1" applyFont="1" applyFill="1"/>
    <xf numFmtId="9" fontId="5" fillId="4" borderId="0" xfId="2" applyFont="1" applyFill="1"/>
    <xf numFmtId="167" fontId="5" fillId="4" borderId="0" xfId="2" applyNumberFormat="1" applyFont="1" applyFill="1"/>
    <xf numFmtId="167" fontId="5" fillId="4" borderId="0" xfId="0" applyNumberFormat="1" applyFont="1" applyFill="1"/>
    <xf numFmtId="0" fontId="11" fillId="4" borderId="0" xfId="0" applyFont="1" applyFill="1" applyBorder="1" applyAlignment="1">
      <alignment vertical="center"/>
    </xf>
    <xf numFmtId="0" fontId="11"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72" fillId="4" borderId="0" xfId="0" applyFont="1" applyFill="1" applyAlignment="1" applyProtection="1">
      <alignment wrapText="1"/>
    </xf>
    <xf numFmtId="167" fontId="72" fillId="4" borderId="0" xfId="0" applyNumberFormat="1" applyFont="1" applyFill="1" applyAlignment="1" applyProtection="1">
      <alignment horizontal="center" vertical="center"/>
    </xf>
    <xf numFmtId="167" fontId="72" fillId="4" borderId="0" xfId="0" applyNumberFormat="1" applyFont="1" applyFill="1" applyAlignment="1">
      <alignment horizontal="center" vertical="center"/>
    </xf>
    <xf numFmtId="168" fontId="2" fillId="0" borderId="0" xfId="0" applyNumberFormat="1" applyFont="1"/>
    <xf numFmtId="0" fontId="54" fillId="0" borderId="0" xfId="0" applyFont="1"/>
    <xf numFmtId="0" fontId="2" fillId="0" borderId="0" xfId="0" applyFont="1"/>
    <xf numFmtId="0" fontId="52" fillId="15" borderId="0" xfId="3" applyFont="1" applyFill="1"/>
    <xf numFmtId="0" fontId="28" fillId="15" borderId="0" xfId="3" applyFont="1" applyFill="1"/>
    <xf numFmtId="0" fontId="73" fillId="16" borderId="0" xfId="3" applyFont="1" applyFill="1" applyAlignment="1">
      <alignment vertical="center"/>
    </xf>
    <xf numFmtId="0" fontId="2" fillId="16" borderId="0" xfId="3" applyFont="1" applyFill="1" applyBorder="1" applyAlignment="1">
      <alignment horizontal="center"/>
    </xf>
    <xf numFmtId="0" fontId="52" fillId="17" borderId="0" xfId="3" applyFont="1" applyFill="1"/>
    <xf numFmtId="0" fontId="28" fillId="17" borderId="0" xfId="3" applyFont="1" applyFill="1"/>
    <xf numFmtId="0" fontId="72" fillId="16" borderId="0" xfId="3" applyFont="1" applyFill="1" applyBorder="1" applyAlignment="1">
      <alignment horizontal="left"/>
    </xf>
    <xf numFmtId="0" fontId="37" fillId="3" borderId="0" xfId="0" applyFont="1" applyFill="1" applyAlignment="1">
      <alignment horizontal="center" vertical="center"/>
    </xf>
    <xf numFmtId="0" fontId="73" fillId="5" borderId="0" xfId="3" applyFont="1" applyFill="1" applyAlignment="1">
      <alignment vertical="center"/>
    </xf>
    <xf numFmtId="168" fontId="73" fillId="5" borderId="0" xfId="3" applyNumberFormat="1" applyFont="1" applyFill="1" applyAlignment="1">
      <alignment vertical="center"/>
    </xf>
    <xf numFmtId="168" fontId="54" fillId="0" borderId="31" xfId="1" applyNumberFormat="1" applyFont="1" applyBorder="1" applyAlignment="1" applyProtection="1">
      <alignment vertical="center"/>
      <protection locked="0"/>
    </xf>
    <xf numFmtId="0" fontId="72" fillId="16" borderId="0" xfId="3" applyFont="1" applyFill="1" applyAlignment="1">
      <alignment horizontal="left" vertical="center"/>
    </xf>
    <xf numFmtId="169" fontId="54" fillId="0" borderId="31" xfId="1" applyNumberFormat="1" applyFont="1" applyBorder="1" applyAlignment="1" applyProtection="1">
      <alignment vertical="center"/>
      <protection locked="0"/>
    </xf>
    <xf numFmtId="165" fontId="54" fillId="0" borderId="0" xfId="1" applyFont="1" applyBorder="1" applyAlignment="1" applyProtection="1">
      <alignment vertical="center"/>
      <protection locked="0"/>
    </xf>
    <xf numFmtId="1" fontId="78" fillId="5" borderId="1" xfId="5" applyNumberFormat="1" applyFont="1" applyFill="1" applyAlignment="1" applyProtection="1">
      <alignment vertical="center"/>
      <protection locked="0"/>
    </xf>
    <xf numFmtId="170" fontId="54" fillId="5" borderId="32" xfId="1" applyNumberFormat="1" applyFont="1" applyFill="1" applyBorder="1" applyAlignment="1" applyProtection="1">
      <alignment vertical="center"/>
      <protection locked="0"/>
    </xf>
    <xf numFmtId="168" fontId="73" fillId="4" borderId="0" xfId="3" applyNumberFormat="1" applyFont="1" applyFill="1" applyAlignment="1" applyProtection="1">
      <alignment vertical="center"/>
      <protection locked="0"/>
    </xf>
    <xf numFmtId="165" fontId="73" fillId="5" borderId="0" xfId="3" applyNumberFormat="1" applyFont="1" applyFill="1" applyAlignment="1">
      <alignment vertical="center"/>
    </xf>
    <xf numFmtId="0" fontId="73" fillId="16" borderId="0" xfId="3" applyFont="1" applyFill="1" applyBorder="1" applyAlignment="1">
      <alignment vertical="center"/>
    </xf>
    <xf numFmtId="0" fontId="2" fillId="3" borderId="33" xfId="0" applyFont="1" applyFill="1" applyBorder="1" applyAlignment="1">
      <alignment horizontal="center" vertical="center"/>
    </xf>
    <xf numFmtId="0" fontId="74" fillId="3" borderId="33" xfId="3" applyFont="1" applyFill="1" applyBorder="1" applyAlignment="1">
      <alignment horizontal="center" vertical="center"/>
    </xf>
    <xf numFmtId="0" fontId="2" fillId="3" borderId="34" xfId="0" applyFont="1" applyFill="1" applyBorder="1" applyAlignment="1">
      <alignment horizontal="center" vertical="center"/>
    </xf>
    <xf numFmtId="0" fontId="74" fillId="3" borderId="34" xfId="3" applyFont="1" applyFill="1" applyBorder="1" applyAlignment="1">
      <alignment horizontal="center" vertical="center"/>
    </xf>
    <xf numFmtId="1" fontId="78" fillId="5" borderId="1" xfId="5" applyNumberFormat="1" applyFont="1" applyFill="1" applyAlignment="1" applyProtection="1">
      <alignment vertical="center"/>
    </xf>
    <xf numFmtId="170" fontId="54" fillId="5" borderId="32" xfId="1" applyNumberFormat="1" applyFont="1" applyFill="1" applyBorder="1" applyAlignment="1" applyProtection="1">
      <alignment vertical="center"/>
    </xf>
    <xf numFmtId="0" fontId="0" fillId="5" borderId="0" xfId="0" applyFill="1" applyAlignment="1">
      <alignment vertical="center"/>
    </xf>
    <xf numFmtId="0" fontId="81" fillId="16" borderId="0" xfId="0" applyFont="1" applyFill="1" applyAlignment="1">
      <alignment horizontal="center" vertical="center"/>
    </xf>
    <xf numFmtId="0" fontId="0" fillId="16" borderId="0" xfId="0" applyFill="1" applyAlignment="1">
      <alignment vertical="center"/>
    </xf>
    <xf numFmtId="0" fontId="0" fillId="19" borderId="0" xfId="0" applyFill="1"/>
    <xf numFmtId="0" fontId="6" fillId="3" borderId="0" xfId="3" applyFont="1" applyFill="1"/>
    <xf numFmtId="0" fontId="82" fillId="5" borderId="0" xfId="0" applyFont="1" applyFill="1" applyBorder="1" applyAlignment="1">
      <alignment vertical="top" wrapText="1"/>
    </xf>
    <xf numFmtId="0" fontId="83" fillId="5" borderId="0" xfId="0" applyFont="1" applyFill="1" applyBorder="1" applyAlignment="1">
      <alignment vertical="top" wrapText="1"/>
    </xf>
    <xf numFmtId="0" fontId="54" fillId="5" borderId="0" xfId="0" applyFont="1" applyFill="1" applyBorder="1" applyAlignment="1">
      <alignment vertical="top" wrapText="1"/>
    </xf>
    <xf numFmtId="0" fontId="54" fillId="4" borderId="0" xfId="0" applyFont="1" applyFill="1" applyBorder="1" applyAlignment="1">
      <alignment vertical="top" wrapText="1"/>
    </xf>
    <xf numFmtId="0" fontId="82" fillId="4" borderId="0" xfId="0" applyFont="1" applyFill="1" applyBorder="1" applyAlignment="1">
      <alignment vertical="top" wrapText="1"/>
    </xf>
    <xf numFmtId="0" fontId="85" fillId="3" borderId="0" xfId="0" applyFont="1" applyFill="1" applyAlignment="1">
      <alignment vertical="center"/>
    </xf>
    <xf numFmtId="0" fontId="0" fillId="18" borderId="0" xfId="0" applyFill="1"/>
    <xf numFmtId="167" fontId="86" fillId="5" borderId="0" xfId="0" applyNumberFormat="1" applyFont="1" applyFill="1"/>
    <xf numFmtId="0" fontId="0" fillId="0" borderId="19" xfId="0" applyBorder="1" applyProtection="1">
      <protection locked="0"/>
    </xf>
    <xf numFmtId="168" fontId="0" fillId="4" borderId="0" xfId="1" applyNumberFormat="1" applyFont="1" applyFill="1" applyProtection="1">
      <protection locked="0"/>
    </xf>
    <xf numFmtId="0" fontId="0" fillId="4" borderId="0" xfId="0" applyFill="1" applyAlignment="1" applyProtection="1">
      <alignment horizontal="center" vertical="center"/>
      <protection locked="0"/>
    </xf>
    <xf numFmtId="0" fontId="0" fillId="0" borderId="30" xfId="0" applyBorder="1" applyProtection="1">
      <protection locked="0"/>
    </xf>
    <xf numFmtId="9" fontId="0" fillId="4" borderId="0" xfId="2" applyFont="1" applyFill="1" applyAlignment="1" applyProtection="1">
      <alignment horizontal="center" vertical="center"/>
      <protection locked="0"/>
    </xf>
    <xf numFmtId="0" fontId="11" fillId="20" borderId="0" xfId="3" applyFont="1" applyFill="1" applyAlignment="1">
      <alignment horizontal="left" vertical="center"/>
    </xf>
    <xf numFmtId="0" fontId="77" fillId="3" borderId="0" xfId="0" applyFont="1" applyFill="1" applyAlignment="1">
      <alignment horizontal="left" vertical="center" wrapText="1"/>
    </xf>
    <xf numFmtId="0" fontId="11" fillId="6" borderId="0" xfId="0" applyFont="1" applyFill="1" applyBorder="1" applyAlignment="1">
      <alignment horizontal="center"/>
    </xf>
    <xf numFmtId="0" fontId="25" fillId="4" borderId="9" xfId="0" applyFont="1" applyFill="1" applyBorder="1" applyAlignment="1">
      <alignment horizontal="left" vertical="center" wrapText="1"/>
    </xf>
    <xf numFmtId="0" fontId="5" fillId="4" borderId="0" xfId="0" applyFont="1" applyFill="1" applyAlignment="1">
      <alignment horizontal="center"/>
    </xf>
    <xf numFmtId="0" fontId="11" fillId="9" borderId="0" xfId="0" applyFont="1" applyFill="1" applyBorder="1" applyAlignment="1">
      <alignment horizontal="center"/>
    </xf>
    <xf numFmtId="0" fontId="25" fillId="4" borderId="9" xfId="0" applyFont="1" applyFill="1" applyBorder="1" applyAlignment="1" applyProtection="1">
      <alignment horizontal="left" vertical="center" wrapText="1"/>
    </xf>
    <xf numFmtId="0" fontId="29" fillId="12" borderId="20" xfId="3" applyFont="1" applyFill="1" applyBorder="1" applyAlignment="1">
      <alignment horizontal="center" vertical="center"/>
    </xf>
    <xf numFmtId="0" fontId="29" fillId="12" borderId="21" xfId="3" applyFont="1" applyFill="1" applyBorder="1" applyAlignment="1">
      <alignment horizontal="center" vertical="center"/>
    </xf>
    <xf numFmtId="0" fontId="29" fillId="13" borderId="25" xfId="3" applyFont="1" applyFill="1" applyBorder="1" applyAlignment="1">
      <alignment horizontal="center" vertical="center"/>
    </xf>
    <xf numFmtId="0" fontId="29" fillId="13" borderId="26" xfId="3" applyFont="1" applyFill="1" applyBorder="1" applyAlignment="1">
      <alignment horizontal="center" vertical="center"/>
    </xf>
    <xf numFmtId="0" fontId="29" fillId="13" borderId="27" xfId="3" applyFont="1" applyFill="1" applyBorder="1" applyAlignment="1">
      <alignment horizontal="center" vertical="center"/>
    </xf>
    <xf numFmtId="0" fontId="75" fillId="3" borderId="0" xfId="0" applyFont="1" applyFill="1" applyAlignment="1">
      <alignment horizontal="center" vertical="center"/>
    </xf>
    <xf numFmtId="0" fontId="72" fillId="16" borderId="0" xfId="3" applyFont="1" applyFill="1" applyAlignment="1">
      <alignment horizontal="left" vertical="center"/>
    </xf>
    <xf numFmtId="0" fontId="82" fillId="3" borderId="0" xfId="0" applyFont="1" applyFill="1" applyBorder="1" applyAlignment="1">
      <alignment horizontal="left" vertical="top" wrapText="1"/>
    </xf>
    <xf numFmtId="0" fontId="54" fillId="3" borderId="0" xfId="0" applyFont="1" applyFill="1" applyBorder="1" applyAlignment="1">
      <alignment horizontal="left" vertical="top" wrapText="1"/>
    </xf>
    <xf numFmtId="0" fontId="84" fillId="3" borderId="0" xfId="0" applyFont="1" applyFill="1" applyBorder="1" applyAlignment="1">
      <alignment horizontal="left" vertical="top" wrapText="1"/>
    </xf>
    <xf numFmtId="0" fontId="83" fillId="3" borderId="0" xfId="0" applyFont="1" applyFill="1" applyBorder="1" applyAlignment="1">
      <alignment horizontal="left" vertical="top" wrapText="1"/>
    </xf>
    <xf numFmtId="0" fontId="4" fillId="0" borderId="0" xfId="0" applyFont="1" applyAlignment="1">
      <alignment horizontal="center"/>
    </xf>
  </cellXfs>
  <cellStyles count="7">
    <cellStyle name="Check Cell 2" xfId="5" xr:uid="{00000000-0005-0000-0000-000000000000}"/>
    <cellStyle name="Comma" xfId="1" builtinId="3"/>
    <cellStyle name="Currency" xfId="6" builtinId="4"/>
    <cellStyle name="Normal" xfId="0" builtinId="0"/>
    <cellStyle name="Normal 2" xfId="3" xr:uid="{00000000-0005-0000-0000-000004000000}"/>
    <cellStyle name="Percent" xfId="2" builtinId="5"/>
    <cellStyle name="Percent 2" xfId="4" xr:uid="{00000000-0005-0000-0000-00000600000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image" Target="../media/image7.pn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1" Type="http://schemas.openxmlformats.org/officeDocument/2006/relationships/image" Target="../media/image7.png"/></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8.xml.rels><?xml version="1.0" encoding="UTF-8" standalone="yes"?>
<Relationships xmlns="http://schemas.openxmlformats.org/package/2006/relationships"><Relationship Id="rId1" Type="http://schemas.openxmlformats.org/officeDocument/2006/relationships/image" Target="../media/image7.png"/></Relationships>
</file>

<file path=xl/charts/_rels/chart2.xml.rels><?xml version="1.0" encoding="UTF-8" standalone="yes"?>
<Relationships xmlns="http://schemas.openxmlformats.org/package/2006/relationships"><Relationship Id="rId1" Type="http://schemas.openxmlformats.org/officeDocument/2006/relationships/image" Target="../media/image7.pn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2.xml.rels><?xml version="1.0" encoding="UTF-8" standalone="yes"?>
<Relationships xmlns="http://schemas.openxmlformats.org/package/2006/relationships"><Relationship Id="rId1" Type="http://schemas.openxmlformats.org/officeDocument/2006/relationships/image" Target="../media/image7.png"/></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6.xml.rels><?xml version="1.0" encoding="UTF-8" standalone="yes"?>
<Relationships xmlns="http://schemas.openxmlformats.org/package/2006/relationships"><Relationship Id="rId1" Type="http://schemas.openxmlformats.org/officeDocument/2006/relationships/image" Target="../media/image7.png"/></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image" Target="../media/image7.png"/></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4.xml.rels><?xml version="1.0" encoding="UTF-8" standalone="yes"?>
<Relationships xmlns="http://schemas.openxmlformats.org/package/2006/relationships"><Relationship Id="rId1" Type="http://schemas.openxmlformats.org/officeDocument/2006/relationships/image" Target="../media/image7.png"/></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8.xml.rels><?xml version="1.0" encoding="UTF-8" standalone="yes"?>
<Relationships xmlns="http://schemas.openxmlformats.org/package/2006/relationships"><Relationship Id="rId1" Type="http://schemas.openxmlformats.org/officeDocument/2006/relationships/image" Target="../media/image7.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42.xml.rels><?xml version="1.0" encoding="UTF-8" standalone="yes"?>
<Relationships xmlns="http://schemas.openxmlformats.org/package/2006/relationships"><Relationship Id="rId1" Type="http://schemas.openxmlformats.org/officeDocument/2006/relationships/image" Target="../media/image7.png"/></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6.xml.rels><?xml version="1.0" encoding="UTF-8" standalone="yes"?>
<Relationships xmlns="http://schemas.openxmlformats.org/package/2006/relationships"><Relationship Id="rId1" Type="http://schemas.openxmlformats.org/officeDocument/2006/relationships/image" Target="../media/image7.png"/></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50.xml.rels><?xml version="1.0" encoding="UTF-8" standalone="yes"?>
<Relationships xmlns="http://schemas.openxmlformats.org/package/2006/relationships"><Relationship Id="rId1" Type="http://schemas.openxmlformats.org/officeDocument/2006/relationships/image" Target="../media/image7.png"/></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6.xml.rels><?xml version="1.0" encoding="UTF-8" standalone="yes"?>
<Relationships xmlns="http://schemas.openxmlformats.org/package/2006/relationships"><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7EBD-46E8-A8FA-2949CFDFF4F6}"/>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7EBD-46E8-A8FA-2949CFDFF4F6}"/>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7EBD-46E8-A8FA-2949CFDFF4F6}"/>
              </c:ext>
            </c:extLst>
          </c:dPt>
          <c:dPt>
            <c:idx val="3"/>
            <c:bubble3D val="0"/>
            <c:spPr>
              <a:noFill/>
              <a:ln>
                <a:noFill/>
              </a:ln>
              <a:effectLst/>
            </c:spPr>
            <c:extLst>
              <c:ext xmlns:c16="http://schemas.microsoft.com/office/drawing/2014/chart" uri="{C3380CC4-5D6E-409C-BE32-E72D297353CC}">
                <c16:uniqueId val="{00000007-7EBD-46E8-A8FA-2949CFDFF4F6}"/>
              </c:ext>
            </c:extLst>
          </c:dPt>
          <c:cat>
            <c:strRef>
              <c:f>Jan!$U$44:$U$47</c:f>
              <c:strCache>
                <c:ptCount val="4"/>
                <c:pt idx="0">
                  <c:v>Green</c:v>
                </c:pt>
                <c:pt idx="1">
                  <c:v>Yellow</c:v>
                </c:pt>
                <c:pt idx="2">
                  <c:v>Red</c:v>
                </c:pt>
                <c:pt idx="3">
                  <c:v>Blank</c:v>
                </c:pt>
              </c:strCache>
            </c:strRef>
          </c:cat>
          <c:val>
            <c:numRef>
              <c:f>Jan!$W$44:$W$47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7EBD-46E8-A8FA-2949CFDFF4F6}"/>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Jan!$U$42</c:f>
              <c:strCache>
                <c:ptCount val="1"/>
                <c:pt idx="0">
                  <c:v>SL%</c:v>
                </c:pt>
              </c:strCache>
            </c:strRef>
          </c:tx>
          <c:spPr>
            <a:solidFill>
              <a:schemeClr val="tx1"/>
            </a:solidFill>
            <a:ln>
              <a:noFill/>
            </a:ln>
            <a:effectLst/>
          </c:spPr>
          <c:dPt>
            <c:idx val="0"/>
            <c:bubble3D val="0"/>
            <c:spPr>
              <a:noFill/>
              <a:ln>
                <a:noFill/>
              </a:ln>
              <a:effectLst/>
            </c:spPr>
            <c:extLst>
              <c:ext xmlns:c16="http://schemas.microsoft.com/office/drawing/2014/chart" uri="{C3380CC4-5D6E-409C-BE32-E72D297353CC}">
                <c16:uniqueId val="{0000000A-7EBD-46E8-A8FA-2949CFDFF4F6}"/>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7EBD-46E8-A8FA-2949CFDFF4F6}"/>
              </c:ext>
            </c:extLst>
          </c:dPt>
          <c:dPt>
            <c:idx val="2"/>
            <c:bubble3D val="0"/>
            <c:spPr>
              <a:noFill/>
              <a:ln>
                <a:noFill/>
              </a:ln>
              <a:effectLst/>
            </c:spPr>
            <c:extLst>
              <c:ext xmlns:c16="http://schemas.microsoft.com/office/drawing/2014/chart" uri="{C3380CC4-5D6E-409C-BE32-E72D297353CC}">
                <c16:uniqueId val="{0000000E-7EBD-46E8-A8FA-2949CFDFF4F6}"/>
              </c:ext>
            </c:extLst>
          </c:dPt>
          <c:val>
            <c:numRef>
              <c:f>Jan!$V$42:$X$42</c:f>
              <c:numCache>
                <c:formatCode>0%</c:formatCode>
                <c:ptCount val="3"/>
                <c:pt idx="0">
                  <c:v>0</c:v>
                </c:pt>
                <c:pt idx="1">
                  <c:v>0.01</c:v>
                </c:pt>
                <c:pt idx="2" formatCode="0.00%">
                  <c:v>0</c:v>
                </c:pt>
              </c:numCache>
            </c:numRef>
          </c:val>
          <c:extLst>
            <c:ext xmlns:c16="http://schemas.microsoft.com/office/drawing/2014/chart" uri="{C3380CC4-5D6E-409C-BE32-E72D297353CC}">
              <c16:uniqueId val="{0000000F-7EBD-46E8-A8FA-2949CFDFF4F6}"/>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Mar!$U$51:$U$61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Mar!$W$51:$W$61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CE78-4957-830C-4D19F4EC1D71}"/>
            </c:ext>
          </c:extLst>
        </c:ser>
        <c:ser>
          <c:idx val="2"/>
          <c:order val="2"/>
          <c:tx>
            <c:v>Overachieved</c:v>
          </c:tx>
          <c:spPr>
            <a:ln w="28575">
              <a:noFill/>
            </a:ln>
          </c:spPr>
          <c:invertIfNegative val="0"/>
          <c:cat>
            <c:strRef>
              <c:f>Mar!$U$51:$U$61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Mar!$Y$51:$Y$61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CE78-4957-830C-4D19F4EC1D71}"/>
            </c:ext>
          </c:extLst>
        </c:ser>
        <c:dLbls>
          <c:showLegendKey val="0"/>
          <c:showVal val="0"/>
          <c:showCatName val="0"/>
          <c:showSerName val="0"/>
          <c:showPercent val="0"/>
          <c:showBubbleSize val="0"/>
        </c:dLbls>
        <c:gapWidth val="150"/>
        <c:overlap val="100"/>
        <c:axId val="93599616"/>
        <c:axId val="93618176"/>
      </c:barChart>
      <c:barChart>
        <c:barDir val="col"/>
        <c:grouping val="stacked"/>
        <c:varyColors val="0"/>
        <c:ser>
          <c:idx val="3"/>
          <c:order val="3"/>
          <c:spPr>
            <a:noFill/>
            <a:ln w="12700">
              <a:solidFill>
                <a:schemeClr val="tx1"/>
              </a:solidFill>
            </a:ln>
          </c:spPr>
          <c:invertIfNegative val="0"/>
          <c:cat>
            <c:strRef>
              <c:f>Mar!$U$51:$U$61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Mar!$V$51:$V$61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CE78-4957-830C-4D19F4EC1D71}"/>
            </c:ext>
          </c:extLst>
        </c:ser>
        <c:ser>
          <c:idx val="4"/>
          <c:order val="4"/>
          <c:spPr>
            <a:solidFill>
              <a:srgbClr val="FF0000"/>
            </a:solidFill>
            <a:ln w="9525">
              <a:solidFill>
                <a:schemeClr val="tx1"/>
              </a:solidFill>
            </a:ln>
          </c:spPr>
          <c:invertIfNegative val="0"/>
          <c:cat>
            <c:strRef>
              <c:f>Mar!$U$51:$U$61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Mar!$X$51:$X$61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CE78-4957-830C-4D19F4EC1D71}"/>
            </c:ext>
          </c:extLst>
        </c:ser>
        <c:dLbls>
          <c:showLegendKey val="0"/>
          <c:showVal val="0"/>
          <c:showCatName val="0"/>
          <c:showSerName val="0"/>
          <c:showPercent val="0"/>
          <c:showBubbleSize val="0"/>
        </c:dLbls>
        <c:gapWidth val="150"/>
        <c:overlap val="100"/>
        <c:axId val="93621248"/>
        <c:axId val="93619712"/>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Mar!$U$51:$U$61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Mar!$V$51:$V$61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CE78-4957-830C-4D19F4EC1D71}"/>
            </c:ext>
          </c:extLst>
        </c:ser>
        <c:dLbls>
          <c:showLegendKey val="0"/>
          <c:showVal val="0"/>
          <c:showCatName val="0"/>
          <c:showSerName val="0"/>
          <c:showPercent val="0"/>
          <c:showBubbleSize val="0"/>
        </c:dLbls>
        <c:marker val="1"/>
        <c:smooth val="0"/>
        <c:axId val="93599616"/>
        <c:axId val="93618176"/>
      </c:lineChart>
      <c:catAx>
        <c:axId val="93599616"/>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3618176"/>
        <c:crosses val="autoZero"/>
        <c:auto val="1"/>
        <c:lblAlgn val="ctr"/>
        <c:lblOffset val="100"/>
        <c:noMultiLvlLbl val="0"/>
      </c:catAx>
      <c:valAx>
        <c:axId val="93618176"/>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3599616"/>
        <c:crosses val="autoZero"/>
        <c:crossBetween val="between"/>
      </c:valAx>
      <c:valAx>
        <c:axId val="93619712"/>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3621248"/>
        <c:crosses val="max"/>
        <c:crossBetween val="between"/>
      </c:valAx>
      <c:catAx>
        <c:axId val="93621248"/>
        <c:scaling>
          <c:orientation val="minMax"/>
        </c:scaling>
        <c:delete val="1"/>
        <c:axPos val="b"/>
        <c:numFmt formatCode="General" sourceLinked="1"/>
        <c:majorTickMark val="out"/>
        <c:minorTickMark val="none"/>
        <c:tickLblPos val="nextTo"/>
        <c:crossAx val="93619712"/>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B274-4EFA-805B-31B506E16D8A}"/>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B274-4EFA-805B-31B506E16D8A}"/>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BEF5-4BF2-B4C4-16A2CFB08DA9}"/>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BEF5-4BF2-B4C4-16A2CFB08DA9}"/>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3A59-4577-AB2A-87ADAEC7EE91}"/>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3A59-4577-AB2A-87ADAEC7EE91}"/>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3A59-4577-AB2A-87ADAEC7EE91}"/>
              </c:ext>
            </c:extLst>
          </c:dPt>
          <c:dPt>
            <c:idx val="3"/>
            <c:bubble3D val="0"/>
            <c:spPr>
              <a:noFill/>
              <a:ln>
                <a:noFill/>
              </a:ln>
              <a:effectLst/>
            </c:spPr>
            <c:extLst>
              <c:ext xmlns:c16="http://schemas.microsoft.com/office/drawing/2014/chart" uri="{C3380CC4-5D6E-409C-BE32-E72D297353CC}">
                <c16:uniqueId val="{00000007-3A59-4577-AB2A-87ADAEC7EE91}"/>
              </c:ext>
            </c:extLst>
          </c:dPt>
          <c:cat>
            <c:strRef>
              <c:f>'Apr '!$U$44:$U$47</c:f>
              <c:strCache>
                <c:ptCount val="4"/>
                <c:pt idx="0">
                  <c:v>Green</c:v>
                </c:pt>
                <c:pt idx="1">
                  <c:v>Yellow</c:v>
                </c:pt>
                <c:pt idx="2">
                  <c:v>Red</c:v>
                </c:pt>
                <c:pt idx="3">
                  <c:v>Blank</c:v>
                </c:pt>
              </c:strCache>
            </c:strRef>
          </c:cat>
          <c:val>
            <c:numRef>
              <c:f>'Apr '!$W$44:$W$47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3A59-4577-AB2A-87ADAEC7EE91}"/>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'Apr '!$U$42</c:f>
              <c:strCache>
                <c:ptCount val="1"/>
                <c:pt idx="0">
                  <c:v>SL%</c:v>
                </c:pt>
              </c:strCache>
            </c:strRef>
          </c:tx>
          <c:spPr>
            <a:solidFill>
              <a:schemeClr val="tx1"/>
            </a:solidFill>
            <a:ln>
              <a:noFill/>
            </a:ln>
            <a:effectLst/>
          </c:spPr>
          <c:dPt>
            <c:idx val="0"/>
            <c:bubble3D val="0"/>
            <c:spPr>
              <a:noFill/>
              <a:ln>
                <a:noFill/>
              </a:ln>
              <a:effectLst/>
            </c:spPr>
            <c:extLst>
              <c:ext xmlns:c16="http://schemas.microsoft.com/office/drawing/2014/chart" uri="{C3380CC4-5D6E-409C-BE32-E72D297353CC}">
                <c16:uniqueId val="{0000000A-3A59-4577-AB2A-87ADAEC7EE91}"/>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3A59-4577-AB2A-87ADAEC7EE91}"/>
              </c:ext>
            </c:extLst>
          </c:dPt>
          <c:dPt>
            <c:idx val="2"/>
            <c:bubble3D val="0"/>
            <c:spPr>
              <a:noFill/>
              <a:ln>
                <a:noFill/>
              </a:ln>
              <a:effectLst/>
            </c:spPr>
            <c:extLst>
              <c:ext xmlns:c16="http://schemas.microsoft.com/office/drawing/2014/chart" uri="{C3380CC4-5D6E-409C-BE32-E72D297353CC}">
                <c16:uniqueId val="{0000000E-3A59-4577-AB2A-87ADAEC7EE91}"/>
              </c:ext>
            </c:extLst>
          </c:dPt>
          <c:val>
            <c:numRef>
              <c:f>'Apr '!$V$42:$X$42</c:f>
              <c:numCache>
                <c:formatCode>0%</c:formatCode>
                <c:ptCount val="3"/>
                <c:pt idx="0">
                  <c:v>0</c:v>
                </c:pt>
                <c:pt idx="1">
                  <c:v>0.01</c:v>
                </c:pt>
                <c:pt idx="2" formatCode="0.00%">
                  <c:v>0</c:v>
                </c:pt>
              </c:numCache>
            </c:numRef>
          </c:val>
          <c:extLst>
            <c:ext xmlns:c16="http://schemas.microsoft.com/office/drawing/2014/chart" uri="{C3380CC4-5D6E-409C-BE32-E72D297353CC}">
              <c16:uniqueId val="{0000000F-3A59-4577-AB2A-87ADAEC7EE91}"/>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'Apr '!$U$51:$U$61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'Apr '!$W$51:$W$61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9F3-4B3D-9A9D-31A9E3A4F68B}"/>
            </c:ext>
          </c:extLst>
        </c:ser>
        <c:ser>
          <c:idx val="2"/>
          <c:order val="2"/>
          <c:tx>
            <c:v>Overachieved</c:v>
          </c:tx>
          <c:spPr>
            <a:ln w="28575">
              <a:noFill/>
            </a:ln>
          </c:spPr>
          <c:invertIfNegative val="0"/>
          <c:cat>
            <c:strRef>
              <c:f>'Apr '!$U$51:$U$61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'Apr '!$Y$51:$Y$61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9F3-4B3D-9A9D-31A9E3A4F68B}"/>
            </c:ext>
          </c:extLst>
        </c:ser>
        <c:dLbls>
          <c:showLegendKey val="0"/>
          <c:showVal val="0"/>
          <c:showCatName val="0"/>
          <c:showSerName val="0"/>
          <c:showPercent val="0"/>
          <c:showBubbleSize val="0"/>
        </c:dLbls>
        <c:gapWidth val="150"/>
        <c:overlap val="100"/>
        <c:axId val="103460864"/>
        <c:axId val="103462784"/>
      </c:barChart>
      <c:barChart>
        <c:barDir val="col"/>
        <c:grouping val="stacked"/>
        <c:varyColors val="0"/>
        <c:ser>
          <c:idx val="3"/>
          <c:order val="3"/>
          <c:spPr>
            <a:noFill/>
            <a:ln w="12700">
              <a:solidFill>
                <a:schemeClr val="tx1"/>
              </a:solidFill>
            </a:ln>
          </c:spPr>
          <c:invertIfNegative val="0"/>
          <c:cat>
            <c:strRef>
              <c:f>'Apr '!$U$51:$U$61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'Apr '!$V$51:$V$61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9F3-4B3D-9A9D-31A9E3A4F68B}"/>
            </c:ext>
          </c:extLst>
        </c:ser>
        <c:ser>
          <c:idx val="4"/>
          <c:order val="4"/>
          <c:spPr>
            <a:solidFill>
              <a:srgbClr val="FF0000"/>
            </a:solidFill>
            <a:ln w="9525">
              <a:solidFill>
                <a:schemeClr val="tx1"/>
              </a:solidFill>
            </a:ln>
          </c:spPr>
          <c:invertIfNegative val="0"/>
          <c:cat>
            <c:strRef>
              <c:f>'Apr '!$U$51:$U$61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'Apr '!$X$51:$X$61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9F3-4B3D-9A9D-31A9E3A4F68B}"/>
            </c:ext>
          </c:extLst>
        </c:ser>
        <c:dLbls>
          <c:showLegendKey val="0"/>
          <c:showVal val="0"/>
          <c:showCatName val="0"/>
          <c:showSerName val="0"/>
          <c:showPercent val="0"/>
          <c:showBubbleSize val="0"/>
        </c:dLbls>
        <c:gapWidth val="150"/>
        <c:overlap val="100"/>
        <c:axId val="103478400"/>
        <c:axId val="103464320"/>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'Apr '!$U$51:$U$61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'Apr '!$V$51:$V$61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A9F3-4B3D-9A9D-31A9E3A4F68B}"/>
            </c:ext>
          </c:extLst>
        </c:ser>
        <c:dLbls>
          <c:showLegendKey val="0"/>
          <c:showVal val="0"/>
          <c:showCatName val="0"/>
          <c:showSerName val="0"/>
          <c:showPercent val="0"/>
          <c:showBubbleSize val="0"/>
        </c:dLbls>
        <c:marker val="1"/>
        <c:smooth val="0"/>
        <c:axId val="103460864"/>
        <c:axId val="103462784"/>
      </c:lineChart>
      <c:catAx>
        <c:axId val="103460864"/>
        <c:scaling>
          <c:orientation val="minMax"/>
        </c:scaling>
        <c:delete val="0"/>
        <c:axPos val="b"/>
        <c:numFmt formatCode="General"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3462784"/>
        <c:crosses val="autoZero"/>
        <c:auto val="1"/>
        <c:lblAlgn val="ctr"/>
        <c:lblOffset val="100"/>
        <c:noMultiLvlLbl val="0"/>
      </c:catAx>
      <c:valAx>
        <c:axId val="103462784"/>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3460864"/>
        <c:crosses val="autoZero"/>
        <c:crossBetween val="between"/>
      </c:valAx>
      <c:valAx>
        <c:axId val="103464320"/>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3478400"/>
        <c:crosses val="max"/>
        <c:crossBetween val="between"/>
      </c:valAx>
      <c:catAx>
        <c:axId val="103478400"/>
        <c:scaling>
          <c:orientation val="minMax"/>
        </c:scaling>
        <c:delete val="1"/>
        <c:axPos val="b"/>
        <c:numFmt formatCode="General" sourceLinked="1"/>
        <c:majorTickMark val="out"/>
        <c:minorTickMark val="none"/>
        <c:tickLblPos val="nextTo"/>
        <c:crossAx val="103464320"/>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A700-4375-8733-0442D59D518A}"/>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A700-4375-8733-0442D59D518A}"/>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F35D-45DA-96D1-5EF3126E86B8}"/>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F35D-45DA-96D1-5EF3126E86B8}"/>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6F82-4CFD-ABC3-0F29106D61CD}"/>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6F82-4CFD-ABC3-0F29106D61CD}"/>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6F82-4CFD-ABC3-0F29106D61CD}"/>
              </c:ext>
            </c:extLst>
          </c:dPt>
          <c:dPt>
            <c:idx val="3"/>
            <c:bubble3D val="0"/>
            <c:spPr>
              <a:noFill/>
              <a:ln>
                <a:noFill/>
              </a:ln>
              <a:effectLst/>
            </c:spPr>
            <c:extLst>
              <c:ext xmlns:c16="http://schemas.microsoft.com/office/drawing/2014/chart" uri="{C3380CC4-5D6E-409C-BE32-E72D297353CC}">
                <c16:uniqueId val="{00000007-6F82-4CFD-ABC3-0F29106D61CD}"/>
              </c:ext>
            </c:extLst>
          </c:dPt>
          <c:cat>
            <c:strRef>
              <c:f>May!$U$44:$U$47</c:f>
              <c:strCache>
                <c:ptCount val="4"/>
                <c:pt idx="0">
                  <c:v>Green</c:v>
                </c:pt>
                <c:pt idx="1">
                  <c:v>Yellow</c:v>
                </c:pt>
                <c:pt idx="2">
                  <c:v>Red</c:v>
                </c:pt>
                <c:pt idx="3">
                  <c:v>Blank</c:v>
                </c:pt>
              </c:strCache>
            </c:strRef>
          </c:cat>
          <c:val>
            <c:numRef>
              <c:f>May!$W$44:$W$47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6F82-4CFD-ABC3-0F29106D61CD}"/>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May!$U$42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6F82-4CFD-ABC3-0F29106D61CD}"/>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6F82-4CFD-ABC3-0F29106D61CD}"/>
              </c:ext>
            </c:extLst>
          </c:dPt>
          <c:dPt>
            <c:idx val="2"/>
            <c:bubble3D val="0"/>
            <c:spPr>
              <a:noFill/>
              <a:ln>
                <a:noFill/>
              </a:ln>
              <a:effectLst/>
            </c:spPr>
            <c:extLst>
              <c:ext xmlns:c16="http://schemas.microsoft.com/office/drawing/2014/chart" uri="{C3380CC4-5D6E-409C-BE32-E72D297353CC}">
                <c16:uniqueId val="{0000000E-6F82-4CFD-ABC3-0F29106D61CD}"/>
              </c:ext>
            </c:extLst>
          </c:dPt>
          <c:val>
            <c:numRef>
              <c:f>May!$V$42:$X$42</c:f>
              <c:numCache>
                <c:formatCode>0%</c:formatCode>
                <c:ptCount val="3"/>
                <c:pt idx="0">
                  <c:v>0</c:v>
                </c:pt>
                <c:pt idx="1">
                  <c:v>0.01</c:v>
                </c:pt>
                <c:pt idx="2" formatCode="0.00%">
                  <c:v>0</c:v>
                </c:pt>
              </c:numCache>
            </c:numRef>
          </c:val>
          <c:extLst>
            <c:ext xmlns:c16="http://schemas.microsoft.com/office/drawing/2014/chart" uri="{C3380CC4-5D6E-409C-BE32-E72D297353CC}">
              <c16:uniqueId val="{0000000F-6F82-4CFD-ABC3-0F29106D61CD}"/>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May!$U$51:$U$61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May!$W$51:$W$61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100-489D-A27F-92AF170C26B5}"/>
            </c:ext>
          </c:extLst>
        </c:ser>
        <c:ser>
          <c:idx val="2"/>
          <c:order val="2"/>
          <c:tx>
            <c:v>Overachieved</c:v>
          </c:tx>
          <c:spPr>
            <a:ln w="28575">
              <a:noFill/>
            </a:ln>
          </c:spPr>
          <c:invertIfNegative val="0"/>
          <c:cat>
            <c:strRef>
              <c:f>May!$U$51:$U$61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May!$Y$51:$Y$61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0100-489D-A27F-92AF170C26B5}"/>
            </c:ext>
          </c:extLst>
        </c:ser>
        <c:dLbls>
          <c:showLegendKey val="0"/>
          <c:showVal val="0"/>
          <c:showCatName val="0"/>
          <c:showSerName val="0"/>
          <c:showPercent val="0"/>
          <c:showBubbleSize val="0"/>
        </c:dLbls>
        <c:gapWidth val="150"/>
        <c:overlap val="100"/>
        <c:axId val="106382848"/>
        <c:axId val="106384768"/>
      </c:barChart>
      <c:barChart>
        <c:barDir val="col"/>
        <c:grouping val="stacked"/>
        <c:varyColors val="0"/>
        <c:ser>
          <c:idx val="3"/>
          <c:order val="3"/>
          <c:spPr>
            <a:noFill/>
            <a:ln w="12700">
              <a:solidFill>
                <a:schemeClr val="tx1"/>
              </a:solidFill>
            </a:ln>
          </c:spPr>
          <c:invertIfNegative val="0"/>
          <c:cat>
            <c:strRef>
              <c:f>May!$U$51:$U$61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May!$V$51:$V$61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0100-489D-A27F-92AF170C26B5}"/>
            </c:ext>
          </c:extLst>
        </c:ser>
        <c:ser>
          <c:idx val="4"/>
          <c:order val="4"/>
          <c:spPr>
            <a:solidFill>
              <a:srgbClr val="FF0000"/>
            </a:solidFill>
            <a:ln w="9525">
              <a:solidFill>
                <a:schemeClr val="tx1"/>
              </a:solidFill>
            </a:ln>
          </c:spPr>
          <c:invertIfNegative val="0"/>
          <c:cat>
            <c:strRef>
              <c:f>May!$U$51:$U$61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May!$X$51:$X$61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0100-489D-A27F-92AF170C26B5}"/>
            </c:ext>
          </c:extLst>
        </c:ser>
        <c:dLbls>
          <c:showLegendKey val="0"/>
          <c:showVal val="0"/>
          <c:showCatName val="0"/>
          <c:showSerName val="0"/>
          <c:showPercent val="0"/>
          <c:showBubbleSize val="0"/>
        </c:dLbls>
        <c:gapWidth val="150"/>
        <c:overlap val="100"/>
        <c:axId val="106400384"/>
        <c:axId val="106398848"/>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May!$U$51:$U$61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May!$V$51:$V$61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0100-489D-A27F-92AF170C26B5}"/>
            </c:ext>
          </c:extLst>
        </c:ser>
        <c:dLbls>
          <c:showLegendKey val="0"/>
          <c:showVal val="0"/>
          <c:showCatName val="0"/>
          <c:showSerName val="0"/>
          <c:showPercent val="0"/>
          <c:showBubbleSize val="0"/>
        </c:dLbls>
        <c:marker val="1"/>
        <c:smooth val="0"/>
        <c:axId val="106382848"/>
        <c:axId val="106384768"/>
      </c:lineChart>
      <c:catAx>
        <c:axId val="106382848"/>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6384768"/>
        <c:crosses val="autoZero"/>
        <c:auto val="1"/>
        <c:lblAlgn val="ctr"/>
        <c:lblOffset val="100"/>
        <c:noMultiLvlLbl val="0"/>
      </c:catAx>
      <c:valAx>
        <c:axId val="106384768"/>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6382848"/>
        <c:crosses val="autoZero"/>
        <c:crossBetween val="between"/>
      </c:valAx>
      <c:valAx>
        <c:axId val="106398848"/>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6400384"/>
        <c:crosses val="max"/>
        <c:crossBetween val="between"/>
      </c:valAx>
      <c:catAx>
        <c:axId val="106400384"/>
        <c:scaling>
          <c:orientation val="minMax"/>
        </c:scaling>
        <c:delete val="1"/>
        <c:axPos val="b"/>
        <c:numFmt formatCode="General" sourceLinked="1"/>
        <c:majorTickMark val="out"/>
        <c:minorTickMark val="none"/>
        <c:tickLblPos val="nextTo"/>
        <c:crossAx val="106398848"/>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3E4E-45B2-884B-D662E141FE89}"/>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3E4E-45B2-884B-D662E141FE89}"/>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Jan!$U$51:$U$61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Jan!$W$51:$W$61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13B-4B59-AA10-7DE37E955303}"/>
            </c:ext>
          </c:extLst>
        </c:ser>
        <c:ser>
          <c:idx val="2"/>
          <c:order val="2"/>
          <c:tx>
            <c:v>Overachieved</c:v>
          </c:tx>
          <c:spPr>
            <a:ln w="28575">
              <a:noFill/>
            </a:ln>
          </c:spPr>
          <c:invertIfNegative val="0"/>
          <c:cat>
            <c:strRef>
              <c:f>Jan!$U$51:$U$61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Jan!$Y$51:$Y$61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13B-4B59-AA10-7DE37E955303}"/>
            </c:ext>
          </c:extLst>
        </c:ser>
        <c:dLbls>
          <c:showLegendKey val="0"/>
          <c:showVal val="0"/>
          <c:showCatName val="0"/>
          <c:showSerName val="0"/>
          <c:showPercent val="0"/>
          <c:showBubbleSize val="0"/>
        </c:dLbls>
        <c:gapWidth val="150"/>
        <c:overlap val="100"/>
        <c:axId val="92117248"/>
        <c:axId val="92127616"/>
      </c:barChart>
      <c:barChart>
        <c:barDir val="col"/>
        <c:grouping val="stacked"/>
        <c:varyColors val="0"/>
        <c:ser>
          <c:idx val="3"/>
          <c:order val="3"/>
          <c:spPr>
            <a:noFill/>
            <a:ln w="12700">
              <a:solidFill>
                <a:schemeClr val="tx1"/>
              </a:solidFill>
            </a:ln>
          </c:spPr>
          <c:invertIfNegative val="0"/>
          <c:cat>
            <c:strRef>
              <c:f>Jan!$U$51:$U$61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Jan!$V$51:$V$61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13B-4B59-AA10-7DE37E955303}"/>
            </c:ext>
          </c:extLst>
        </c:ser>
        <c:ser>
          <c:idx val="4"/>
          <c:order val="4"/>
          <c:spPr>
            <a:solidFill>
              <a:srgbClr val="FF0000"/>
            </a:solidFill>
            <a:ln w="9525">
              <a:solidFill>
                <a:schemeClr val="tx1"/>
              </a:solidFill>
            </a:ln>
          </c:spPr>
          <c:invertIfNegative val="0"/>
          <c:cat>
            <c:strRef>
              <c:f>Jan!$U$51:$U$61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Jan!$X$51:$X$61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D13B-4B59-AA10-7DE37E955303}"/>
            </c:ext>
          </c:extLst>
        </c:ser>
        <c:dLbls>
          <c:showLegendKey val="0"/>
          <c:showVal val="0"/>
          <c:showCatName val="0"/>
          <c:showSerName val="0"/>
          <c:showPercent val="0"/>
          <c:showBubbleSize val="0"/>
        </c:dLbls>
        <c:gapWidth val="150"/>
        <c:overlap val="100"/>
        <c:axId val="92130688"/>
        <c:axId val="92129152"/>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Jan!$U$51:$U$61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Jan!$V$51:$V$61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D13B-4B59-AA10-7DE37E955303}"/>
            </c:ext>
          </c:extLst>
        </c:ser>
        <c:dLbls>
          <c:showLegendKey val="0"/>
          <c:showVal val="0"/>
          <c:showCatName val="0"/>
          <c:showSerName val="0"/>
          <c:showPercent val="0"/>
          <c:showBubbleSize val="0"/>
        </c:dLbls>
        <c:marker val="1"/>
        <c:smooth val="0"/>
        <c:axId val="92117248"/>
        <c:axId val="92127616"/>
      </c:lineChart>
      <c:catAx>
        <c:axId val="92117248"/>
        <c:scaling>
          <c:orientation val="minMax"/>
        </c:scaling>
        <c:delete val="0"/>
        <c:axPos val="b"/>
        <c:numFmt formatCode="General"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2127616"/>
        <c:crosses val="autoZero"/>
        <c:auto val="1"/>
        <c:lblAlgn val="ctr"/>
        <c:lblOffset val="100"/>
        <c:noMultiLvlLbl val="0"/>
      </c:catAx>
      <c:valAx>
        <c:axId val="92127616"/>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2117248"/>
        <c:crosses val="autoZero"/>
        <c:crossBetween val="between"/>
      </c:valAx>
      <c:valAx>
        <c:axId val="92129152"/>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2130688"/>
        <c:crosses val="max"/>
        <c:crossBetween val="between"/>
      </c:valAx>
      <c:catAx>
        <c:axId val="92130688"/>
        <c:scaling>
          <c:orientation val="minMax"/>
        </c:scaling>
        <c:delete val="1"/>
        <c:axPos val="b"/>
        <c:numFmt formatCode="General" sourceLinked="1"/>
        <c:majorTickMark val="out"/>
        <c:minorTickMark val="none"/>
        <c:tickLblPos val="nextTo"/>
        <c:crossAx val="92129152"/>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B6C4-4E1A-9732-20B155DCE8C9}"/>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B6C4-4E1A-9732-20B155DCE8C9}"/>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9E24-473D-AA31-BF68B97F6B6E}"/>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9E24-473D-AA31-BF68B97F6B6E}"/>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9E24-473D-AA31-BF68B97F6B6E}"/>
              </c:ext>
            </c:extLst>
          </c:dPt>
          <c:dPt>
            <c:idx val="3"/>
            <c:bubble3D val="0"/>
            <c:spPr>
              <a:noFill/>
              <a:ln>
                <a:noFill/>
              </a:ln>
              <a:effectLst/>
            </c:spPr>
            <c:extLst>
              <c:ext xmlns:c16="http://schemas.microsoft.com/office/drawing/2014/chart" uri="{C3380CC4-5D6E-409C-BE32-E72D297353CC}">
                <c16:uniqueId val="{00000007-9E24-473D-AA31-BF68B97F6B6E}"/>
              </c:ext>
            </c:extLst>
          </c:dPt>
          <c:cat>
            <c:strRef>
              <c:f>Jun!$U$44:$U$47</c:f>
              <c:strCache>
                <c:ptCount val="4"/>
                <c:pt idx="0">
                  <c:v>Green</c:v>
                </c:pt>
                <c:pt idx="1">
                  <c:v>Yellow</c:v>
                </c:pt>
                <c:pt idx="2">
                  <c:v>Red</c:v>
                </c:pt>
                <c:pt idx="3">
                  <c:v>Blank</c:v>
                </c:pt>
              </c:strCache>
            </c:strRef>
          </c:cat>
          <c:val>
            <c:numRef>
              <c:f>Jun!$W$44:$W$47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9E24-473D-AA31-BF68B97F6B6E}"/>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Jun!$U$42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9E24-473D-AA31-BF68B97F6B6E}"/>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9E24-473D-AA31-BF68B97F6B6E}"/>
              </c:ext>
            </c:extLst>
          </c:dPt>
          <c:dPt>
            <c:idx val="2"/>
            <c:bubble3D val="0"/>
            <c:spPr>
              <a:noFill/>
              <a:ln>
                <a:noFill/>
              </a:ln>
              <a:effectLst/>
            </c:spPr>
            <c:extLst>
              <c:ext xmlns:c16="http://schemas.microsoft.com/office/drawing/2014/chart" uri="{C3380CC4-5D6E-409C-BE32-E72D297353CC}">
                <c16:uniqueId val="{0000000E-9E24-473D-AA31-BF68B97F6B6E}"/>
              </c:ext>
            </c:extLst>
          </c:dPt>
          <c:val>
            <c:numRef>
              <c:f>Jun!$V$42:$X$42</c:f>
              <c:numCache>
                <c:formatCode>0%</c:formatCode>
                <c:ptCount val="3"/>
                <c:pt idx="0">
                  <c:v>0</c:v>
                </c:pt>
                <c:pt idx="1">
                  <c:v>0.01</c:v>
                </c:pt>
                <c:pt idx="2" formatCode="0.00%">
                  <c:v>0</c:v>
                </c:pt>
              </c:numCache>
            </c:numRef>
          </c:val>
          <c:extLst>
            <c:ext xmlns:c16="http://schemas.microsoft.com/office/drawing/2014/chart" uri="{C3380CC4-5D6E-409C-BE32-E72D297353CC}">
              <c16:uniqueId val="{0000000F-9E24-473D-AA31-BF68B97F6B6E}"/>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Jun!$U$51:$U$61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Jun!$W$51:$W$61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120-4D04-A48E-693654A165BD}"/>
            </c:ext>
          </c:extLst>
        </c:ser>
        <c:ser>
          <c:idx val="2"/>
          <c:order val="2"/>
          <c:tx>
            <c:v>Overachieved</c:v>
          </c:tx>
          <c:spPr>
            <a:ln w="28575">
              <a:noFill/>
            </a:ln>
          </c:spPr>
          <c:invertIfNegative val="0"/>
          <c:cat>
            <c:strRef>
              <c:f>Jun!$U$51:$U$61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Jun!$Y$51:$Y$61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120-4D04-A48E-693654A165BD}"/>
            </c:ext>
          </c:extLst>
        </c:ser>
        <c:dLbls>
          <c:showLegendKey val="0"/>
          <c:showVal val="0"/>
          <c:showCatName val="0"/>
          <c:showSerName val="0"/>
          <c:showPercent val="0"/>
          <c:showBubbleSize val="0"/>
        </c:dLbls>
        <c:gapWidth val="150"/>
        <c:overlap val="100"/>
        <c:axId val="107359232"/>
        <c:axId val="106762624"/>
      </c:barChart>
      <c:barChart>
        <c:barDir val="col"/>
        <c:grouping val="stacked"/>
        <c:varyColors val="0"/>
        <c:ser>
          <c:idx val="3"/>
          <c:order val="3"/>
          <c:spPr>
            <a:noFill/>
            <a:ln w="12700">
              <a:solidFill>
                <a:schemeClr val="tx1"/>
              </a:solidFill>
            </a:ln>
          </c:spPr>
          <c:invertIfNegative val="0"/>
          <c:cat>
            <c:strRef>
              <c:f>Jun!$U$51:$U$61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Jun!$V$51:$V$61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8120-4D04-A48E-693654A165BD}"/>
            </c:ext>
          </c:extLst>
        </c:ser>
        <c:ser>
          <c:idx val="4"/>
          <c:order val="4"/>
          <c:spPr>
            <a:solidFill>
              <a:srgbClr val="FF0000"/>
            </a:solidFill>
            <a:ln w="9525">
              <a:solidFill>
                <a:schemeClr val="tx1"/>
              </a:solidFill>
            </a:ln>
          </c:spPr>
          <c:invertIfNegative val="0"/>
          <c:cat>
            <c:strRef>
              <c:f>Jun!$U$51:$U$61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Jun!$X$51:$X$61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8120-4D04-A48E-693654A165BD}"/>
            </c:ext>
          </c:extLst>
        </c:ser>
        <c:dLbls>
          <c:showLegendKey val="0"/>
          <c:showVal val="0"/>
          <c:showCatName val="0"/>
          <c:showSerName val="0"/>
          <c:showPercent val="0"/>
          <c:showBubbleSize val="0"/>
        </c:dLbls>
        <c:gapWidth val="150"/>
        <c:overlap val="100"/>
        <c:axId val="106765696"/>
        <c:axId val="106764160"/>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Jun!$U$51:$U$61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Jun!$V$51:$V$61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8120-4D04-A48E-693654A165BD}"/>
            </c:ext>
          </c:extLst>
        </c:ser>
        <c:dLbls>
          <c:showLegendKey val="0"/>
          <c:showVal val="0"/>
          <c:showCatName val="0"/>
          <c:showSerName val="0"/>
          <c:showPercent val="0"/>
          <c:showBubbleSize val="0"/>
        </c:dLbls>
        <c:marker val="1"/>
        <c:smooth val="0"/>
        <c:axId val="107359232"/>
        <c:axId val="106762624"/>
      </c:lineChart>
      <c:catAx>
        <c:axId val="107359232"/>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6762624"/>
        <c:crosses val="autoZero"/>
        <c:auto val="1"/>
        <c:lblAlgn val="ctr"/>
        <c:lblOffset val="100"/>
        <c:noMultiLvlLbl val="0"/>
      </c:catAx>
      <c:valAx>
        <c:axId val="106762624"/>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359232"/>
        <c:crosses val="autoZero"/>
        <c:crossBetween val="between"/>
      </c:valAx>
      <c:valAx>
        <c:axId val="106764160"/>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6765696"/>
        <c:crosses val="max"/>
        <c:crossBetween val="between"/>
      </c:valAx>
      <c:catAx>
        <c:axId val="106765696"/>
        <c:scaling>
          <c:orientation val="minMax"/>
        </c:scaling>
        <c:delete val="1"/>
        <c:axPos val="b"/>
        <c:numFmt formatCode="General" sourceLinked="1"/>
        <c:majorTickMark val="out"/>
        <c:minorTickMark val="none"/>
        <c:tickLblPos val="nextTo"/>
        <c:crossAx val="106764160"/>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9EB2-4096-818A-2B5B5623A311}"/>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9EB2-4096-818A-2B5B5623A311}"/>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EF9F-4CEA-AEFC-7E24BFBC93FC}"/>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EF9F-4CEA-AEFC-7E24BFBC93FC}"/>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6B77-4E8E-A940-377A2872E00E}"/>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6B77-4E8E-A940-377A2872E00E}"/>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6B77-4E8E-A940-377A2872E00E}"/>
              </c:ext>
            </c:extLst>
          </c:dPt>
          <c:dPt>
            <c:idx val="3"/>
            <c:bubble3D val="0"/>
            <c:spPr>
              <a:noFill/>
              <a:ln>
                <a:noFill/>
              </a:ln>
              <a:effectLst/>
            </c:spPr>
            <c:extLst>
              <c:ext xmlns:c16="http://schemas.microsoft.com/office/drawing/2014/chart" uri="{C3380CC4-5D6E-409C-BE32-E72D297353CC}">
                <c16:uniqueId val="{00000007-6B77-4E8E-A940-377A2872E00E}"/>
              </c:ext>
            </c:extLst>
          </c:dPt>
          <c:cat>
            <c:strRef>
              <c:f>Jul!$U$44:$U$47</c:f>
              <c:strCache>
                <c:ptCount val="4"/>
                <c:pt idx="0">
                  <c:v>Green</c:v>
                </c:pt>
                <c:pt idx="1">
                  <c:v>Yellow</c:v>
                </c:pt>
                <c:pt idx="2">
                  <c:v>Red</c:v>
                </c:pt>
                <c:pt idx="3">
                  <c:v>Blank</c:v>
                </c:pt>
              </c:strCache>
            </c:strRef>
          </c:cat>
          <c:val>
            <c:numRef>
              <c:f>Jul!$W$44:$W$47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6B77-4E8E-A940-377A2872E00E}"/>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Jul!$U$42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6B77-4E8E-A940-377A2872E00E}"/>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6B77-4E8E-A940-377A2872E00E}"/>
              </c:ext>
            </c:extLst>
          </c:dPt>
          <c:dPt>
            <c:idx val="2"/>
            <c:bubble3D val="0"/>
            <c:spPr>
              <a:noFill/>
              <a:ln>
                <a:noFill/>
              </a:ln>
              <a:effectLst/>
            </c:spPr>
            <c:extLst>
              <c:ext xmlns:c16="http://schemas.microsoft.com/office/drawing/2014/chart" uri="{C3380CC4-5D6E-409C-BE32-E72D297353CC}">
                <c16:uniqueId val="{0000000E-6B77-4E8E-A940-377A2872E00E}"/>
              </c:ext>
            </c:extLst>
          </c:dPt>
          <c:val>
            <c:numRef>
              <c:f>Jul!$V$42:$X$42</c:f>
              <c:numCache>
                <c:formatCode>0%</c:formatCode>
                <c:ptCount val="3"/>
                <c:pt idx="0">
                  <c:v>0</c:v>
                </c:pt>
                <c:pt idx="1">
                  <c:v>0.01</c:v>
                </c:pt>
                <c:pt idx="2" formatCode="0.00%">
                  <c:v>0</c:v>
                </c:pt>
              </c:numCache>
            </c:numRef>
          </c:val>
          <c:extLst>
            <c:ext xmlns:c16="http://schemas.microsoft.com/office/drawing/2014/chart" uri="{C3380CC4-5D6E-409C-BE32-E72D297353CC}">
              <c16:uniqueId val="{0000000F-6B77-4E8E-A940-377A2872E00E}"/>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Jul!$U$51:$U$61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Jul!$W$51:$W$61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486-4B86-8369-75418D6668A7}"/>
            </c:ext>
          </c:extLst>
        </c:ser>
        <c:ser>
          <c:idx val="2"/>
          <c:order val="2"/>
          <c:tx>
            <c:v>Overachieved</c:v>
          </c:tx>
          <c:spPr>
            <a:ln w="28575">
              <a:noFill/>
            </a:ln>
          </c:spPr>
          <c:invertIfNegative val="0"/>
          <c:cat>
            <c:strRef>
              <c:f>Jul!$U$51:$U$61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Jul!$Y$51:$Y$61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486-4B86-8369-75418D6668A7}"/>
            </c:ext>
          </c:extLst>
        </c:ser>
        <c:dLbls>
          <c:showLegendKey val="0"/>
          <c:showVal val="0"/>
          <c:showCatName val="0"/>
          <c:showSerName val="0"/>
          <c:showPercent val="0"/>
          <c:showBubbleSize val="0"/>
        </c:dLbls>
        <c:gapWidth val="150"/>
        <c:overlap val="100"/>
        <c:axId val="107573248"/>
        <c:axId val="107575168"/>
      </c:barChart>
      <c:barChart>
        <c:barDir val="col"/>
        <c:grouping val="stacked"/>
        <c:varyColors val="0"/>
        <c:ser>
          <c:idx val="3"/>
          <c:order val="3"/>
          <c:spPr>
            <a:noFill/>
            <a:ln w="12700">
              <a:solidFill>
                <a:schemeClr val="tx1"/>
              </a:solidFill>
            </a:ln>
          </c:spPr>
          <c:invertIfNegative val="0"/>
          <c:cat>
            <c:strRef>
              <c:f>Jul!$U$51:$U$61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Jul!$V$51:$V$61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486-4B86-8369-75418D6668A7}"/>
            </c:ext>
          </c:extLst>
        </c:ser>
        <c:ser>
          <c:idx val="4"/>
          <c:order val="4"/>
          <c:spPr>
            <a:solidFill>
              <a:srgbClr val="FF0000"/>
            </a:solidFill>
            <a:ln w="9525">
              <a:solidFill>
                <a:schemeClr val="tx1"/>
              </a:solidFill>
            </a:ln>
          </c:spPr>
          <c:invertIfNegative val="0"/>
          <c:cat>
            <c:strRef>
              <c:f>Jul!$U$51:$U$61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Jul!$X$51:$X$61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D486-4B86-8369-75418D6668A7}"/>
            </c:ext>
          </c:extLst>
        </c:ser>
        <c:dLbls>
          <c:showLegendKey val="0"/>
          <c:showVal val="0"/>
          <c:showCatName val="0"/>
          <c:showSerName val="0"/>
          <c:showPercent val="0"/>
          <c:showBubbleSize val="0"/>
        </c:dLbls>
        <c:gapWidth val="150"/>
        <c:overlap val="100"/>
        <c:axId val="107594880"/>
        <c:axId val="107576704"/>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Jul!$U$51:$U$61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Jul!$V$51:$V$61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D486-4B86-8369-75418D6668A7}"/>
            </c:ext>
          </c:extLst>
        </c:ser>
        <c:dLbls>
          <c:showLegendKey val="0"/>
          <c:showVal val="0"/>
          <c:showCatName val="0"/>
          <c:showSerName val="0"/>
          <c:showPercent val="0"/>
          <c:showBubbleSize val="0"/>
        </c:dLbls>
        <c:marker val="1"/>
        <c:smooth val="0"/>
        <c:axId val="107573248"/>
        <c:axId val="107575168"/>
      </c:lineChart>
      <c:catAx>
        <c:axId val="107573248"/>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575168"/>
        <c:crosses val="autoZero"/>
        <c:auto val="1"/>
        <c:lblAlgn val="ctr"/>
        <c:lblOffset val="100"/>
        <c:noMultiLvlLbl val="0"/>
      </c:catAx>
      <c:valAx>
        <c:axId val="107575168"/>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573248"/>
        <c:crosses val="autoZero"/>
        <c:crossBetween val="between"/>
      </c:valAx>
      <c:valAx>
        <c:axId val="107576704"/>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594880"/>
        <c:crosses val="max"/>
        <c:crossBetween val="between"/>
      </c:valAx>
      <c:catAx>
        <c:axId val="107594880"/>
        <c:scaling>
          <c:orientation val="minMax"/>
        </c:scaling>
        <c:delete val="1"/>
        <c:axPos val="b"/>
        <c:numFmt formatCode="General" sourceLinked="1"/>
        <c:majorTickMark val="out"/>
        <c:minorTickMark val="none"/>
        <c:tickLblPos val="nextTo"/>
        <c:crossAx val="107576704"/>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4135-4AD0-BF31-E6B00041DE06}"/>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4135-4AD0-BF31-E6B00041DE06}"/>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9A1E-4199-A3C9-48C6DAF9B559}"/>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9A1E-4199-A3C9-48C6DAF9B559}"/>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AE87-4E5D-8925-8806AA8E97D0}"/>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AE87-4E5D-8925-8806AA8E97D0}"/>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AE87-4E5D-8925-8806AA8E97D0}"/>
              </c:ext>
            </c:extLst>
          </c:dPt>
          <c:dPt>
            <c:idx val="3"/>
            <c:bubble3D val="0"/>
            <c:spPr>
              <a:noFill/>
              <a:ln>
                <a:noFill/>
              </a:ln>
              <a:effectLst/>
            </c:spPr>
            <c:extLst>
              <c:ext xmlns:c16="http://schemas.microsoft.com/office/drawing/2014/chart" uri="{C3380CC4-5D6E-409C-BE32-E72D297353CC}">
                <c16:uniqueId val="{00000007-AE87-4E5D-8925-8806AA8E97D0}"/>
              </c:ext>
            </c:extLst>
          </c:dPt>
          <c:cat>
            <c:strRef>
              <c:f>Aug!$U$44:$U$47</c:f>
              <c:strCache>
                <c:ptCount val="4"/>
                <c:pt idx="0">
                  <c:v>Green</c:v>
                </c:pt>
                <c:pt idx="1">
                  <c:v>Yellow</c:v>
                </c:pt>
                <c:pt idx="2">
                  <c:v>Red</c:v>
                </c:pt>
                <c:pt idx="3">
                  <c:v>Blank</c:v>
                </c:pt>
              </c:strCache>
            </c:strRef>
          </c:cat>
          <c:val>
            <c:numRef>
              <c:f>Aug!$W$44:$W$47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AE87-4E5D-8925-8806AA8E97D0}"/>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Aug!$U$42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AE87-4E5D-8925-8806AA8E97D0}"/>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AE87-4E5D-8925-8806AA8E97D0}"/>
              </c:ext>
            </c:extLst>
          </c:dPt>
          <c:dPt>
            <c:idx val="2"/>
            <c:bubble3D val="0"/>
            <c:spPr>
              <a:noFill/>
              <a:ln>
                <a:noFill/>
              </a:ln>
              <a:effectLst/>
            </c:spPr>
            <c:extLst>
              <c:ext xmlns:c16="http://schemas.microsoft.com/office/drawing/2014/chart" uri="{C3380CC4-5D6E-409C-BE32-E72D297353CC}">
                <c16:uniqueId val="{0000000E-AE87-4E5D-8925-8806AA8E97D0}"/>
              </c:ext>
            </c:extLst>
          </c:dPt>
          <c:val>
            <c:numRef>
              <c:f>Aug!$V$42:$X$42</c:f>
              <c:numCache>
                <c:formatCode>0%</c:formatCode>
                <c:ptCount val="3"/>
                <c:pt idx="0">
                  <c:v>0</c:v>
                </c:pt>
                <c:pt idx="1">
                  <c:v>0.01</c:v>
                </c:pt>
                <c:pt idx="2" formatCode="0.00%">
                  <c:v>0</c:v>
                </c:pt>
              </c:numCache>
            </c:numRef>
          </c:val>
          <c:extLst>
            <c:ext xmlns:c16="http://schemas.microsoft.com/office/drawing/2014/chart" uri="{C3380CC4-5D6E-409C-BE32-E72D297353CC}">
              <c16:uniqueId val="{0000000F-AE87-4E5D-8925-8806AA8E97D0}"/>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2811-46F8-812F-4B2E26A6C0BA}"/>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2811-46F8-812F-4B2E26A6C0BA}"/>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Aug!$U$51:$U$61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Aug!$W$51:$W$61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2001-4ED5-97E8-A5B8CF270FD5}"/>
            </c:ext>
          </c:extLst>
        </c:ser>
        <c:ser>
          <c:idx val="2"/>
          <c:order val="2"/>
          <c:tx>
            <c:v>Overachieved</c:v>
          </c:tx>
          <c:spPr>
            <a:ln w="28575">
              <a:noFill/>
            </a:ln>
          </c:spPr>
          <c:invertIfNegative val="0"/>
          <c:cat>
            <c:strRef>
              <c:f>Aug!$U$51:$U$61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Aug!$Y$51:$Y$61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001-4ED5-97E8-A5B8CF270FD5}"/>
            </c:ext>
          </c:extLst>
        </c:ser>
        <c:dLbls>
          <c:showLegendKey val="0"/>
          <c:showVal val="0"/>
          <c:showCatName val="0"/>
          <c:showSerName val="0"/>
          <c:showPercent val="0"/>
          <c:showBubbleSize val="0"/>
        </c:dLbls>
        <c:gapWidth val="150"/>
        <c:overlap val="100"/>
        <c:axId val="107886080"/>
        <c:axId val="107888000"/>
      </c:barChart>
      <c:barChart>
        <c:barDir val="col"/>
        <c:grouping val="stacked"/>
        <c:varyColors val="0"/>
        <c:ser>
          <c:idx val="3"/>
          <c:order val="3"/>
          <c:spPr>
            <a:noFill/>
            <a:ln w="12700">
              <a:solidFill>
                <a:schemeClr val="tx1"/>
              </a:solidFill>
            </a:ln>
          </c:spPr>
          <c:invertIfNegative val="0"/>
          <c:cat>
            <c:strRef>
              <c:f>Aug!$U$51:$U$61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Aug!$V$51:$V$61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001-4ED5-97E8-A5B8CF270FD5}"/>
            </c:ext>
          </c:extLst>
        </c:ser>
        <c:ser>
          <c:idx val="4"/>
          <c:order val="4"/>
          <c:spPr>
            <a:solidFill>
              <a:srgbClr val="FF0000"/>
            </a:solidFill>
            <a:ln w="9525">
              <a:solidFill>
                <a:schemeClr val="tx1"/>
              </a:solidFill>
            </a:ln>
          </c:spPr>
          <c:invertIfNegative val="0"/>
          <c:cat>
            <c:strRef>
              <c:f>Aug!$U$51:$U$61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Aug!$X$51:$X$61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2001-4ED5-97E8-A5B8CF270FD5}"/>
            </c:ext>
          </c:extLst>
        </c:ser>
        <c:dLbls>
          <c:showLegendKey val="0"/>
          <c:showVal val="0"/>
          <c:showCatName val="0"/>
          <c:showSerName val="0"/>
          <c:showPercent val="0"/>
          <c:showBubbleSize val="0"/>
        </c:dLbls>
        <c:gapWidth val="150"/>
        <c:overlap val="100"/>
        <c:axId val="107899520"/>
        <c:axId val="107897984"/>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Aug!$U$51:$U$61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Aug!$V$51:$V$61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2001-4ED5-97E8-A5B8CF270FD5}"/>
            </c:ext>
          </c:extLst>
        </c:ser>
        <c:dLbls>
          <c:showLegendKey val="0"/>
          <c:showVal val="0"/>
          <c:showCatName val="0"/>
          <c:showSerName val="0"/>
          <c:showPercent val="0"/>
          <c:showBubbleSize val="0"/>
        </c:dLbls>
        <c:marker val="1"/>
        <c:smooth val="0"/>
        <c:axId val="107886080"/>
        <c:axId val="107888000"/>
      </c:lineChart>
      <c:catAx>
        <c:axId val="107886080"/>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888000"/>
        <c:crosses val="autoZero"/>
        <c:auto val="1"/>
        <c:lblAlgn val="ctr"/>
        <c:lblOffset val="100"/>
        <c:noMultiLvlLbl val="0"/>
      </c:catAx>
      <c:valAx>
        <c:axId val="107888000"/>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886080"/>
        <c:crosses val="autoZero"/>
        <c:crossBetween val="between"/>
      </c:valAx>
      <c:valAx>
        <c:axId val="107897984"/>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7899520"/>
        <c:crosses val="max"/>
        <c:crossBetween val="between"/>
      </c:valAx>
      <c:catAx>
        <c:axId val="107899520"/>
        <c:scaling>
          <c:orientation val="minMax"/>
        </c:scaling>
        <c:delete val="1"/>
        <c:axPos val="b"/>
        <c:numFmt formatCode="General" sourceLinked="1"/>
        <c:majorTickMark val="out"/>
        <c:minorTickMark val="none"/>
        <c:tickLblPos val="nextTo"/>
        <c:crossAx val="107897984"/>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3537-4D79-B236-591749CFBDC8}"/>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3537-4D79-B236-591749CFBDC8}"/>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A584-4037-A50A-C5B2FCA615B5}"/>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A584-4037-A50A-C5B2FCA615B5}"/>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A739-4F84-9C7B-EA6C65B52620}"/>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A739-4F84-9C7B-EA6C65B52620}"/>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A739-4F84-9C7B-EA6C65B52620}"/>
              </c:ext>
            </c:extLst>
          </c:dPt>
          <c:dPt>
            <c:idx val="3"/>
            <c:bubble3D val="0"/>
            <c:spPr>
              <a:noFill/>
              <a:ln>
                <a:noFill/>
              </a:ln>
              <a:effectLst/>
            </c:spPr>
            <c:extLst>
              <c:ext xmlns:c16="http://schemas.microsoft.com/office/drawing/2014/chart" uri="{C3380CC4-5D6E-409C-BE32-E72D297353CC}">
                <c16:uniqueId val="{00000007-A739-4F84-9C7B-EA6C65B52620}"/>
              </c:ext>
            </c:extLst>
          </c:dPt>
          <c:cat>
            <c:strRef>
              <c:f>Sep!$U$44:$U$47</c:f>
              <c:strCache>
                <c:ptCount val="4"/>
                <c:pt idx="0">
                  <c:v>Green</c:v>
                </c:pt>
                <c:pt idx="1">
                  <c:v>Yellow</c:v>
                </c:pt>
                <c:pt idx="2">
                  <c:v>Red</c:v>
                </c:pt>
                <c:pt idx="3">
                  <c:v>Blank</c:v>
                </c:pt>
              </c:strCache>
            </c:strRef>
          </c:cat>
          <c:val>
            <c:numRef>
              <c:f>Sep!$W$44:$W$47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A739-4F84-9C7B-EA6C65B52620}"/>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Sep!$U$42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A739-4F84-9C7B-EA6C65B52620}"/>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A739-4F84-9C7B-EA6C65B52620}"/>
              </c:ext>
            </c:extLst>
          </c:dPt>
          <c:dPt>
            <c:idx val="2"/>
            <c:bubble3D val="0"/>
            <c:spPr>
              <a:noFill/>
              <a:ln>
                <a:noFill/>
              </a:ln>
              <a:effectLst/>
            </c:spPr>
            <c:extLst>
              <c:ext xmlns:c16="http://schemas.microsoft.com/office/drawing/2014/chart" uri="{C3380CC4-5D6E-409C-BE32-E72D297353CC}">
                <c16:uniqueId val="{0000000E-A739-4F84-9C7B-EA6C65B52620}"/>
              </c:ext>
            </c:extLst>
          </c:dPt>
          <c:val>
            <c:numRef>
              <c:f>Sep!$V$42:$X$42</c:f>
              <c:numCache>
                <c:formatCode>0%</c:formatCode>
                <c:ptCount val="3"/>
                <c:pt idx="0">
                  <c:v>0</c:v>
                </c:pt>
                <c:pt idx="1">
                  <c:v>0.01</c:v>
                </c:pt>
                <c:pt idx="2" formatCode="0.00%">
                  <c:v>0</c:v>
                </c:pt>
              </c:numCache>
            </c:numRef>
          </c:val>
          <c:extLst>
            <c:ext xmlns:c16="http://schemas.microsoft.com/office/drawing/2014/chart" uri="{C3380CC4-5D6E-409C-BE32-E72D297353CC}">
              <c16:uniqueId val="{0000000F-A739-4F84-9C7B-EA6C65B52620}"/>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Sep!$U$51:$U$61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Sep!$W$51:$W$61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CBE-4431-A6B0-E8CC52EF3A5E}"/>
            </c:ext>
          </c:extLst>
        </c:ser>
        <c:ser>
          <c:idx val="2"/>
          <c:order val="2"/>
          <c:tx>
            <c:v>Overachieved</c:v>
          </c:tx>
          <c:spPr>
            <a:ln w="28575">
              <a:noFill/>
            </a:ln>
          </c:spPr>
          <c:invertIfNegative val="0"/>
          <c:cat>
            <c:strRef>
              <c:f>Sep!$U$51:$U$61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Sep!$Y$51:$Y$61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1CBE-4431-A6B0-E8CC52EF3A5E}"/>
            </c:ext>
          </c:extLst>
        </c:ser>
        <c:dLbls>
          <c:showLegendKey val="0"/>
          <c:showVal val="0"/>
          <c:showCatName val="0"/>
          <c:showSerName val="0"/>
          <c:showPercent val="0"/>
          <c:showBubbleSize val="0"/>
        </c:dLbls>
        <c:gapWidth val="150"/>
        <c:overlap val="100"/>
        <c:axId val="108506112"/>
        <c:axId val="108516480"/>
      </c:barChart>
      <c:barChart>
        <c:barDir val="col"/>
        <c:grouping val="stacked"/>
        <c:varyColors val="0"/>
        <c:ser>
          <c:idx val="3"/>
          <c:order val="3"/>
          <c:spPr>
            <a:noFill/>
            <a:ln w="12700">
              <a:solidFill>
                <a:schemeClr val="tx1"/>
              </a:solidFill>
            </a:ln>
          </c:spPr>
          <c:invertIfNegative val="0"/>
          <c:cat>
            <c:strRef>
              <c:f>Sep!$U$51:$U$61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Sep!$V$51:$V$61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1CBE-4431-A6B0-E8CC52EF3A5E}"/>
            </c:ext>
          </c:extLst>
        </c:ser>
        <c:ser>
          <c:idx val="4"/>
          <c:order val="4"/>
          <c:spPr>
            <a:solidFill>
              <a:srgbClr val="FF0000"/>
            </a:solidFill>
            <a:ln w="9525">
              <a:solidFill>
                <a:schemeClr val="tx1"/>
              </a:solidFill>
            </a:ln>
          </c:spPr>
          <c:invertIfNegative val="0"/>
          <c:cat>
            <c:strRef>
              <c:f>Sep!$U$51:$U$61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Sep!$X$51:$X$61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1CBE-4431-A6B0-E8CC52EF3A5E}"/>
            </c:ext>
          </c:extLst>
        </c:ser>
        <c:dLbls>
          <c:showLegendKey val="0"/>
          <c:showVal val="0"/>
          <c:showCatName val="0"/>
          <c:showSerName val="0"/>
          <c:showPercent val="0"/>
          <c:showBubbleSize val="0"/>
        </c:dLbls>
        <c:gapWidth val="150"/>
        <c:overlap val="100"/>
        <c:axId val="108519808"/>
        <c:axId val="108518016"/>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Sep!$U$51:$U$61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Sep!$V$51:$V$61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1CBE-4431-A6B0-E8CC52EF3A5E}"/>
            </c:ext>
          </c:extLst>
        </c:ser>
        <c:dLbls>
          <c:showLegendKey val="0"/>
          <c:showVal val="0"/>
          <c:showCatName val="0"/>
          <c:showSerName val="0"/>
          <c:showPercent val="0"/>
          <c:showBubbleSize val="0"/>
        </c:dLbls>
        <c:marker val="1"/>
        <c:smooth val="0"/>
        <c:axId val="108506112"/>
        <c:axId val="108516480"/>
      </c:lineChart>
      <c:catAx>
        <c:axId val="108506112"/>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516480"/>
        <c:crosses val="autoZero"/>
        <c:auto val="1"/>
        <c:lblAlgn val="ctr"/>
        <c:lblOffset val="100"/>
        <c:noMultiLvlLbl val="0"/>
      </c:catAx>
      <c:valAx>
        <c:axId val="108516480"/>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506112"/>
        <c:crosses val="autoZero"/>
        <c:crossBetween val="between"/>
      </c:valAx>
      <c:valAx>
        <c:axId val="108518016"/>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519808"/>
        <c:crosses val="max"/>
        <c:crossBetween val="between"/>
      </c:valAx>
      <c:catAx>
        <c:axId val="108519808"/>
        <c:scaling>
          <c:orientation val="minMax"/>
        </c:scaling>
        <c:delete val="1"/>
        <c:axPos val="b"/>
        <c:numFmt formatCode="General" sourceLinked="1"/>
        <c:majorTickMark val="out"/>
        <c:minorTickMark val="none"/>
        <c:tickLblPos val="nextTo"/>
        <c:crossAx val="10851801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08C2-4C5A-955E-40EDC0125C05}"/>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08C2-4C5A-955E-40EDC0125C05}"/>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22BB-424B-AC4D-72FBE0965960}"/>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22BB-424B-AC4D-72FBE0965960}"/>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96E7-406F-B438-D18A96D6C9CF}"/>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96E7-406F-B438-D18A96D6C9CF}"/>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96E7-406F-B438-D18A96D6C9CF}"/>
              </c:ext>
            </c:extLst>
          </c:dPt>
          <c:dPt>
            <c:idx val="3"/>
            <c:bubble3D val="0"/>
            <c:spPr>
              <a:noFill/>
              <a:ln>
                <a:noFill/>
              </a:ln>
              <a:effectLst/>
            </c:spPr>
            <c:extLst>
              <c:ext xmlns:c16="http://schemas.microsoft.com/office/drawing/2014/chart" uri="{C3380CC4-5D6E-409C-BE32-E72D297353CC}">
                <c16:uniqueId val="{00000007-96E7-406F-B438-D18A96D6C9CF}"/>
              </c:ext>
            </c:extLst>
          </c:dPt>
          <c:cat>
            <c:strRef>
              <c:f>Oct!$U$44:$U$47</c:f>
              <c:strCache>
                <c:ptCount val="4"/>
                <c:pt idx="0">
                  <c:v>Green</c:v>
                </c:pt>
                <c:pt idx="1">
                  <c:v>Yellow</c:v>
                </c:pt>
                <c:pt idx="2">
                  <c:v>Red</c:v>
                </c:pt>
                <c:pt idx="3">
                  <c:v>Blank</c:v>
                </c:pt>
              </c:strCache>
            </c:strRef>
          </c:cat>
          <c:val>
            <c:numRef>
              <c:f>Oct!$W$44:$W$47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96E7-406F-B438-D18A96D6C9CF}"/>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Oct!$U$42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96E7-406F-B438-D18A96D6C9CF}"/>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96E7-406F-B438-D18A96D6C9CF}"/>
              </c:ext>
            </c:extLst>
          </c:dPt>
          <c:dPt>
            <c:idx val="2"/>
            <c:bubble3D val="0"/>
            <c:spPr>
              <a:noFill/>
              <a:ln>
                <a:noFill/>
              </a:ln>
              <a:effectLst/>
            </c:spPr>
            <c:extLst>
              <c:ext xmlns:c16="http://schemas.microsoft.com/office/drawing/2014/chart" uri="{C3380CC4-5D6E-409C-BE32-E72D297353CC}">
                <c16:uniqueId val="{0000000E-96E7-406F-B438-D18A96D6C9CF}"/>
              </c:ext>
            </c:extLst>
          </c:dPt>
          <c:val>
            <c:numRef>
              <c:f>Oct!$V$42:$X$42</c:f>
              <c:numCache>
                <c:formatCode>0%</c:formatCode>
                <c:ptCount val="3"/>
                <c:pt idx="0">
                  <c:v>0</c:v>
                </c:pt>
                <c:pt idx="1">
                  <c:v>0.01</c:v>
                </c:pt>
                <c:pt idx="2" formatCode="0.00%">
                  <c:v>0</c:v>
                </c:pt>
              </c:numCache>
            </c:numRef>
          </c:val>
          <c:extLst>
            <c:ext xmlns:c16="http://schemas.microsoft.com/office/drawing/2014/chart" uri="{C3380CC4-5D6E-409C-BE32-E72D297353CC}">
              <c16:uniqueId val="{0000000F-96E7-406F-B438-D18A96D6C9CF}"/>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Oct!$U$51:$U$61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Oct!$W$51:$W$61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CAC-4E93-BFA1-72510712BBEA}"/>
            </c:ext>
          </c:extLst>
        </c:ser>
        <c:ser>
          <c:idx val="2"/>
          <c:order val="2"/>
          <c:tx>
            <c:v>Overachieved</c:v>
          </c:tx>
          <c:spPr>
            <a:ln w="28575">
              <a:noFill/>
            </a:ln>
          </c:spPr>
          <c:invertIfNegative val="0"/>
          <c:cat>
            <c:strRef>
              <c:f>Oct!$U$51:$U$61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Oct!$Y$51:$Y$61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CAC-4E93-BFA1-72510712BBEA}"/>
            </c:ext>
          </c:extLst>
        </c:ser>
        <c:dLbls>
          <c:showLegendKey val="0"/>
          <c:showVal val="0"/>
          <c:showCatName val="0"/>
          <c:showSerName val="0"/>
          <c:showPercent val="0"/>
          <c:showBubbleSize val="0"/>
        </c:dLbls>
        <c:gapWidth val="150"/>
        <c:overlap val="100"/>
        <c:axId val="109114112"/>
        <c:axId val="109116032"/>
      </c:barChart>
      <c:barChart>
        <c:barDir val="col"/>
        <c:grouping val="stacked"/>
        <c:varyColors val="0"/>
        <c:ser>
          <c:idx val="3"/>
          <c:order val="3"/>
          <c:spPr>
            <a:noFill/>
            <a:ln w="12700">
              <a:solidFill>
                <a:schemeClr val="tx1"/>
              </a:solidFill>
            </a:ln>
          </c:spPr>
          <c:invertIfNegative val="0"/>
          <c:cat>
            <c:strRef>
              <c:f>Oct!$U$51:$U$61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Oct!$V$51:$V$61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8CAC-4E93-BFA1-72510712BBEA}"/>
            </c:ext>
          </c:extLst>
        </c:ser>
        <c:ser>
          <c:idx val="4"/>
          <c:order val="4"/>
          <c:spPr>
            <a:solidFill>
              <a:srgbClr val="FF0000"/>
            </a:solidFill>
            <a:ln w="9525">
              <a:solidFill>
                <a:schemeClr val="tx1"/>
              </a:solidFill>
            </a:ln>
          </c:spPr>
          <c:invertIfNegative val="0"/>
          <c:cat>
            <c:strRef>
              <c:f>Oct!$U$51:$U$61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Oct!$X$51:$X$61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8CAC-4E93-BFA1-72510712BBEA}"/>
            </c:ext>
          </c:extLst>
        </c:ser>
        <c:dLbls>
          <c:showLegendKey val="0"/>
          <c:showVal val="0"/>
          <c:showCatName val="0"/>
          <c:showSerName val="0"/>
          <c:showPercent val="0"/>
          <c:showBubbleSize val="0"/>
        </c:dLbls>
        <c:gapWidth val="150"/>
        <c:overlap val="100"/>
        <c:axId val="109123456"/>
        <c:axId val="109121920"/>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Oct!$U$51:$U$61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Oct!$V$51:$V$61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8CAC-4E93-BFA1-72510712BBEA}"/>
            </c:ext>
          </c:extLst>
        </c:ser>
        <c:dLbls>
          <c:showLegendKey val="0"/>
          <c:showVal val="0"/>
          <c:showCatName val="0"/>
          <c:showSerName val="0"/>
          <c:showPercent val="0"/>
          <c:showBubbleSize val="0"/>
        </c:dLbls>
        <c:marker val="1"/>
        <c:smooth val="0"/>
        <c:axId val="109114112"/>
        <c:axId val="109116032"/>
      </c:lineChart>
      <c:catAx>
        <c:axId val="109114112"/>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116032"/>
        <c:crosses val="autoZero"/>
        <c:auto val="1"/>
        <c:lblAlgn val="ctr"/>
        <c:lblOffset val="100"/>
        <c:noMultiLvlLbl val="0"/>
      </c:catAx>
      <c:valAx>
        <c:axId val="109116032"/>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114112"/>
        <c:crosses val="autoZero"/>
        <c:crossBetween val="between"/>
      </c:valAx>
      <c:valAx>
        <c:axId val="109121920"/>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123456"/>
        <c:crosses val="max"/>
        <c:crossBetween val="between"/>
      </c:valAx>
      <c:catAx>
        <c:axId val="109123456"/>
        <c:scaling>
          <c:orientation val="minMax"/>
        </c:scaling>
        <c:delete val="1"/>
        <c:axPos val="b"/>
        <c:numFmt formatCode="General" sourceLinked="1"/>
        <c:majorTickMark val="out"/>
        <c:minorTickMark val="none"/>
        <c:tickLblPos val="nextTo"/>
        <c:crossAx val="109121920"/>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880F-41F3-93AA-9EEFA97F412F}"/>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880F-41F3-93AA-9EEFA97F412F}"/>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2954-435A-827F-58EAA3C3880B}"/>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2954-435A-827F-58EAA3C3880B}"/>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8895-49DB-B551-B5CA707FDA70}"/>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8895-49DB-B551-B5CA707FDA70}"/>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EB67-4959-AD26-85FB6D3F3501}"/>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EB67-4959-AD26-85FB6D3F3501}"/>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EB67-4959-AD26-85FB6D3F3501}"/>
              </c:ext>
            </c:extLst>
          </c:dPt>
          <c:dPt>
            <c:idx val="3"/>
            <c:bubble3D val="0"/>
            <c:spPr>
              <a:noFill/>
              <a:ln>
                <a:noFill/>
              </a:ln>
              <a:effectLst/>
            </c:spPr>
            <c:extLst>
              <c:ext xmlns:c16="http://schemas.microsoft.com/office/drawing/2014/chart" uri="{C3380CC4-5D6E-409C-BE32-E72D297353CC}">
                <c16:uniqueId val="{00000007-EB67-4959-AD26-85FB6D3F3501}"/>
              </c:ext>
            </c:extLst>
          </c:dPt>
          <c:cat>
            <c:strRef>
              <c:f>Nov!$U$44:$U$47</c:f>
              <c:strCache>
                <c:ptCount val="4"/>
                <c:pt idx="0">
                  <c:v>Green</c:v>
                </c:pt>
                <c:pt idx="1">
                  <c:v>Yellow</c:v>
                </c:pt>
                <c:pt idx="2">
                  <c:v>Red</c:v>
                </c:pt>
                <c:pt idx="3">
                  <c:v>Blank</c:v>
                </c:pt>
              </c:strCache>
            </c:strRef>
          </c:cat>
          <c:val>
            <c:numRef>
              <c:f>Nov!$W$44:$W$47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EB67-4959-AD26-85FB6D3F3501}"/>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Nov!$U$42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EB67-4959-AD26-85FB6D3F3501}"/>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EB67-4959-AD26-85FB6D3F3501}"/>
              </c:ext>
            </c:extLst>
          </c:dPt>
          <c:dPt>
            <c:idx val="2"/>
            <c:bubble3D val="0"/>
            <c:spPr>
              <a:noFill/>
              <a:ln>
                <a:noFill/>
              </a:ln>
              <a:effectLst/>
            </c:spPr>
            <c:extLst>
              <c:ext xmlns:c16="http://schemas.microsoft.com/office/drawing/2014/chart" uri="{C3380CC4-5D6E-409C-BE32-E72D297353CC}">
                <c16:uniqueId val="{0000000E-EB67-4959-AD26-85FB6D3F3501}"/>
              </c:ext>
            </c:extLst>
          </c:dPt>
          <c:val>
            <c:numRef>
              <c:f>Nov!$V$42:$X$42</c:f>
              <c:numCache>
                <c:formatCode>0%</c:formatCode>
                <c:ptCount val="3"/>
                <c:pt idx="0">
                  <c:v>0</c:v>
                </c:pt>
                <c:pt idx="1">
                  <c:v>0.01</c:v>
                </c:pt>
                <c:pt idx="2" formatCode="0.00%">
                  <c:v>0</c:v>
                </c:pt>
              </c:numCache>
            </c:numRef>
          </c:val>
          <c:extLst>
            <c:ext xmlns:c16="http://schemas.microsoft.com/office/drawing/2014/chart" uri="{C3380CC4-5D6E-409C-BE32-E72D297353CC}">
              <c16:uniqueId val="{0000000F-EB67-4959-AD26-85FB6D3F3501}"/>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Nov!$U$51:$U$61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Nov!$W$51:$W$61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C3C-45D1-9A43-F041DA07636B}"/>
            </c:ext>
          </c:extLst>
        </c:ser>
        <c:ser>
          <c:idx val="2"/>
          <c:order val="2"/>
          <c:tx>
            <c:v>Overachieved</c:v>
          </c:tx>
          <c:spPr>
            <a:ln w="28575">
              <a:noFill/>
            </a:ln>
          </c:spPr>
          <c:invertIfNegative val="0"/>
          <c:cat>
            <c:strRef>
              <c:f>Nov!$U$51:$U$61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Nov!$Y$51:$Y$61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C3C-45D1-9A43-F041DA07636B}"/>
            </c:ext>
          </c:extLst>
        </c:ser>
        <c:dLbls>
          <c:showLegendKey val="0"/>
          <c:showVal val="0"/>
          <c:showCatName val="0"/>
          <c:showSerName val="0"/>
          <c:showPercent val="0"/>
          <c:showBubbleSize val="0"/>
        </c:dLbls>
        <c:gapWidth val="150"/>
        <c:overlap val="100"/>
        <c:axId val="109664896"/>
        <c:axId val="109679360"/>
      </c:barChart>
      <c:barChart>
        <c:barDir val="col"/>
        <c:grouping val="stacked"/>
        <c:varyColors val="0"/>
        <c:ser>
          <c:idx val="3"/>
          <c:order val="3"/>
          <c:spPr>
            <a:noFill/>
            <a:ln w="12700">
              <a:solidFill>
                <a:schemeClr val="tx1"/>
              </a:solidFill>
            </a:ln>
          </c:spPr>
          <c:invertIfNegative val="0"/>
          <c:cat>
            <c:strRef>
              <c:f>Nov!$U$51:$U$61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Nov!$V$51:$V$61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C3C-45D1-9A43-F041DA07636B}"/>
            </c:ext>
          </c:extLst>
        </c:ser>
        <c:ser>
          <c:idx val="4"/>
          <c:order val="4"/>
          <c:spPr>
            <a:solidFill>
              <a:srgbClr val="FF0000"/>
            </a:solidFill>
            <a:ln w="9525">
              <a:solidFill>
                <a:schemeClr val="tx1"/>
              </a:solidFill>
            </a:ln>
          </c:spPr>
          <c:invertIfNegative val="0"/>
          <c:cat>
            <c:strRef>
              <c:f>Nov!$U$51:$U$61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Nov!$X$51:$X$61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C3C-45D1-9A43-F041DA07636B}"/>
            </c:ext>
          </c:extLst>
        </c:ser>
        <c:dLbls>
          <c:showLegendKey val="0"/>
          <c:showVal val="0"/>
          <c:showCatName val="0"/>
          <c:showSerName val="0"/>
          <c:showPercent val="0"/>
          <c:showBubbleSize val="0"/>
        </c:dLbls>
        <c:gapWidth val="150"/>
        <c:overlap val="100"/>
        <c:axId val="109682688"/>
        <c:axId val="109680896"/>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Nov!$U$51:$U$61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Nov!$V$51:$V$61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AC3C-45D1-9A43-F041DA07636B}"/>
            </c:ext>
          </c:extLst>
        </c:ser>
        <c:dLbls>
          <c:showLegendKey val="0"/>
          <c:showVal val="0"/>
          <c:showCatName val="0"/>
          <c:showSerName val="0"/>
          <c:showPercent val="0"/>
          <c:showBubbleSize val="0"/>
        </c:dLbls>
        <c:marker val="1"/>
        <c:smooth val="0"/>
        <c:axId val="109664896"/>
        <c:axId val="109679360"/>
      </c:lineChart>
      <c:catAx>
        <c:axId val="109664896"/>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679360"/>
        <c:crosses val="autoZero"/>
        <c:auto val="1"/>
        <c:lblAlgn val="ctr"/>
        <c:lblOffset val="100"/>
        <c:noMultiLvlLbl val="0"/>
      </c:catAx>
      <c:valAx>
        <c:axId val="109679360"/>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664896"/>
        <c:crosses val="autoZero"/>
        <c:crossBetween val="between"/>
      </c:valAx>
      <c:valAx>
        <c:axId val="109680896"/>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9682688"/>
        <c:crosses val="max"/>
        <c:crossBetween val="between"/>
      </c:valAx>
      <c:catAx>
        <c:axId val="109682688"/>
        <c:scaling>
          <c:orientation val="minMax"/>
        </c:scaling>
        <c:delete val="1"/>
        <c:axPos val="b"/>
        <c:numFmt formatCode="General" sourceLinked="1"/>
        <c:majorTickMark val="out"/>
        <c:minorTickMark val="none"/>
        <c:tickLblPos val="nextTo"/>
        <c:crossAx val="10968089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D4BC-4247-BA1D-DCA4CA19ED11}"/>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D4BC-4247-BA1D-DCA4CA19ED11}"/>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1E84-423A-BD34-D45F7D7B4D15}"/>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1E84-423A-BD34-D45F7D7B4D15}"/>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0240-4A26-9F92-91951138A368}"/>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0240-4A26-9F92-91951138A368}"/>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0240-4A26-9F92-91951138A368}"/>
              </c:ext>
            </c:extLst>
          </c:dPt>
          <c:dPt>
            <c:idx val="3"/>
            <c:bubble3D val="0"/>
            <c:spPr>
              <a:noFill/>
              <a:ln>
                <a:noFill/>
              </a:ln>
              <a:effectLst/>
            </c:spPr>
            <c:extLst>
              <c:ext xmlns:c16="http://schemas.microsoft.com/office/drawing/2014/chart" uri="{C3380CC4-5D6E-409C-BE32-E72D297353CC}">
                <c16:uniqueId val="{00000007-0240-4A26-9F92-91951138A368}"/>
              </c:ext>
            </c:extLst>
          </c:dPt>
          <c:cat>
            <c:strRef>
              <c:f>Dec!$U$44:$U$47</c:f>
              <c:strCache>
                <c:ptCount val="4"/>
                <c:pt idx="0">
                  <c:v>Green</c:v>
                </c:pt>
                <c:pt idx="1">
                  <c:v>Yellow</c:v>
                </c:pt>
                <c:pt idx="2">
                  <c:v>Red</c:v>
                </c:pt>
                <c:pt idx="3">
                  <c:v>Blank</c:v>
                </c:pt>
              </c:strCache>
            </c:strRef>
          </c:cat>
          <c:val>
            <c:numRef>
              <c:f>Dec!$W$44:$W$47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0240-4A26-9F92-91951138A368}"/>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Dec!$U$42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0240-4A26-9F92-91951138A368}"/>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0240-4A26-9F92-91951138A368}"/>
              </c:ext>
            </c:extLst>
          </c:dPt>
          <c:dPt>
            <c:idx val="2"/>
            <c:bubble3D val="0"/>
            <c:spPr>
              <a:noFill/>
              <a:ln>
                <a:noFill/>
              </a:ln>
              <a:effectLst/>
            </c:spPr>
            <c:extLst>
              <c:ext xmlns:c16="http://schemas.microsoft.com/office/drawing/2014/chart" uri="{C3380CC4-5D6E-409C-BE32-E72D297353CC}">
                <c16:uniqueId val="{0000000E-0240-4A26-9F92-91951138A368}"/>
              </c:ext>
            </c:extLst>
          </c:dPt>
          <c:val>
            <c:numRef>
              <c:f>Dec!$V$42:$X$42</c:f>
              <c:numCache>
                <c:formatCode>0%</c:formatCode>
                <c:ptCount val="3"/>
                <c:pt idx="0">
                  <c:v>0</c:v>
                </c:pt>
                <c:pt idx="1">
                  <c:v>0.01</c:v>
                </c:pt>
                <c:pt idx="2" formatCode="0.00%">
                  <c:v>0</c:v>
                </c:pt>
              </c:numCache>
            </c:numRef>
          </c:val>
          <c:extLst>
            <c:ext xmlns:c16="http://schemas.microsoft.com/office/drawing/2014/chart" uri="{C3380CC4-5D6E-409C-BE32-E72D297353CC}">
              <c16:uniqueId val="{0000000F-0240-4A26-9F92-91951138A368}"/>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Dec!$U$51:$U$61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Dec!$W$51:$W$61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D1C-4D47-87DE-391EC6A56D90}"/>
            </c:ext>
          </c:extLst>
        </c:ser>
        <c:ser>
          <c:idx val="2"/>
          <c:order val="2"/>
          <c:tx>
            <c:v>Overachieved</c:v>
          </c:tx>
          <c:spPr>
            <a:ln w="28575">
              <a:noFill/>
            </a:ln>
          </c:spPr>
          <c:invertIfNegative val="0"/>
          <c:cat>
            <c:strRef>
              <c:f>Dec!$U$51:$U$61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Dec!$Y$51:$Y$61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7D1C-4D47-87DE-391EC6A56D90}"/>
            </c:ext>
          </c:extLst>
        </c:ser>
        <c:dLbls>
          <c:showLegendKey val="0"/>
          <c:showVal val="0"/>
          <c:showCatName val="0"/>
          <c:showSerName val="0"/>
          <c:showPercent val="0"/>
          <c:showBubbleSize val="0"/>
        </c:dLbls>
        <c:gapWidth val="150"/>
        <c:overlap val="100"/>
        <c:axId val="108704128"/>
        <c:axId val="108706048"/>
      </c:barChart>
      <c:barChart>
        <c:barDir val="col"/>
        <c:grouping val="stacked"/>
        <c:varyColors val="0"/>
        <c:ser>
          <c:idx val="3"/>
          <c:order val="3"/>
          <c:spPr>
            <a:noFill/>
            <a:ln w="12700">
              <a:solidFill>
                <a:schemeClr val="tx1"/>
              </a:solidFill>
            </a:ln>
          </c:spPr>
          <c:invertIfNegative val="0"/>
          <c:cat>
            <c:strRef>
              <c:f>Dec!$U$51:$U$61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Dec!$V$51:$V$61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7D1C-4D47-87DE-391EC6A56D90}"/>
            </c:ext>
          </c:extLst>
        </c:ser>
        <c:ser>
          <c:idx val="4"/>
          <c:order val="4"/>
          <c:spPr>
            <a:solidFill>
              <a:srgbClr val="FF0000"/>
            </a:solidFill>
            <a:ln w="9525">
              <a:solidFill>
                <a:schemeClr val="tx1"/>
              </a:solidFill>
            </a:ln>
          </c:spPr>
          <c:invertIfNegative val="0"/>
          <c:cat>
            <c:strRef>
              <c:f>Dec!$U$51:$U$61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Dec!$X$51:$X$61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7D1C-4D47-87DE-391EC6A56D90}"/>
            </c:ext>
          </c:extLst>
        </c:ser>
        <c:dLbls>
          <c:showLegendKey val="0"/>
          <c:showVal val="0"/>
          <c:showCatName val="0"/>
          <c:showSerName val="0"/>
          <c:showPercent val="0"/>
          <c:showBubbleSize val="0"/>
        </c:dLbls>
        <c:gapWidth val="150"/>
        <c:overlap val="100"/>
        <c:axId val="108713472"/>
        <c:axId val="108711936"/>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Dec!$U$51:$U$61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Dec!$V$51:$V$61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7D1C-4D47-87DE-391EC6A56D90}"/>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706048"/>
        <c:crosses val="autoZero"/>
        <c:auto val="1"/>
        <c:lblAlgn val="ctr"/>
        <c:lblOffset val="100"/>
        <c:noMultiLvlLbl val="0"/>
      </c:catAx>
      <c:valAx>
        <c:axId val="108706048"/>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704128"/>
        <c:crosses val="autoZero"/>
        <c:crossBetween val="between"/>
      </c:valAx>
      <c:valAx>
        <c:axId val="108711936"/>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08713472"/>
        <c:crosses val="max"/>
        <c:crossBetween val="between"/>
      </c:valAx>
      <c:catAx>
        <c:axId val="108713472"/>
        <c:scaling>
          <c:orientation val="minMax"/>
        </c:scaling>
        <c:delete val="1"/>
        <c:axPos val="b"/>
        <c:numFmt formatCode="General" sourceLinked="1"/>
        <c:majorTickMark val="out"/>
        <c:minorTickMark val="none"/>
        <c:tickLblPos val="nextTo"/>
        <c:crossAx val="10871193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32AB-49D9-BFC8-D16FC7B05CC1}"/>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32AB-49D9-BFC8-D16FC7B05CC1}"/>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8120-4DD6-8FC1-2789F74F0DA3}"/>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8120-4DD6-8FC1-2789F74F0DA3}"/>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DBA9-4E8E-B6D2-2FB93ADC750E}"/>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DBA9-4E8E-B6D2-2FB93ADC750E}"/>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DBA9-4E8E-B6D2-2FB93ADC750E}"/>
              </c:ext>
            </c:extLst>
          </c:dPt>
          <c:dPt>
            <c:idx val="3"/>
            <c:bubble3D val="0"/>
            <c:spPr>
              <a:noFill/>
              <a:ln>
                <a:noFill/>
              </a:ln>
              <a:effectLst/>
            </c:spPr>
            <c:extLst>
              <c:ext xmlns:c16="http://schemas.microsoft.com/office/drawing/2014/chart" uri="{C3380CC4-5D6E-409C-BE32-E72D297353CC}">
                <c16:uniqueId val="{00000007-DBA9-4E8E-B6D2-2FB93ADC750E}"/>
              </c:ext>
            </c:extLst>
          </c:dPt>
          <c:cat>
            <c:strRef>
              <c:f>YEARLY!$U$44:$U$47</c:f>
              <c:strCache>
                <c:ptCount val="4"/>
                <c:pt idx="0">
                  <c:v>Green</c:v>
                </c:pt>
                <c:pt idx="1">
                  <c:v>Yellow</c:v>
                </c:pt>
                <c:pt idx="2">
                  <c:v>Red</c:v>
                </c:pt>
                <c:pt idx="3">
                  <c:v>Blank</c:v>
                </c:pt>
              </c:strCache>
            </c:strRef>
          </c:cat>
          <c:val>
            <c:numRef>
              <c:f>YEARLY!$W$44:$W$47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DBA9-4E8E-B6D2-2FB93ADC750E}"/>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YEARLY!$U$42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DBA9-4E8E-B6D2-2FB93ADC750E}"/>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DBA9-4E8E-B6D2-2FB93ADC750E}"/>
              </c:ext>
            </c:extLst>
          </c:dPt>
          <c:dPt>
            <c:idx val="2"/>
            <c:bubble3D val="0"/>
            <c:spPr>
              <a:noFill/>
              <a:ln>
                <a:noFill/>
              </a:ln>
              <a:effectLst/>
            </c:spPr>
            <c:extLst>
              <c:ext xmlns:c16="http://schemas.microsoft.com/office/drawing/2014/chart" uri="{C3380CC4-5D6E-409C-BE32-E72D297353CC}">
                <c16:uniqueId val="{0000000E-DBA9-4E8E-B6D2-2FB93ADC750E}"/>
              </c:ext>
            </c:extLst>
          </c:dPt>
          <c:val>
            <c:numRef>
              <c:f>YEARLY!$V$42:$X$42</c:f>
              <c:numCache>
                <c:formatCode>0%</c:formatCode>
                <c:ptCount val="3"/>
                <c:pt idx="0">
                  <c:v>0</c:v>
                </c:pt>
                <c:pt idx="1">
                  <c:v>0.01</c:v>
                </c:pt>
                <c:pt idx="2" formatCode="0.00%">
                  <c:v>0</c:v>
                </c:pt>
              </c:numCache>
            </c:numRef>
          </c:val>
          <c:extLst>
            <c:ext xmlns:c16="http://schemas.microsoft.com/office/drawing/2014/chart" uri="{C3380CC4-5D6E-409C-BE32-E72D297353CC}">
              <c16:uniqueId val="{0000000F-DBA9-4E8E-B6D2-2FB93ADC750E}"/>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0AB1-4298-AB28-31BD793CE6C0}"/>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0AB1-4298-AB28-31BD793CE6C0}"/>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0AB1-4298-AB28-31BD793CE6C0}"/>
              </c:ext>
            </c:extLst>
          </c:dPt>
          <c:dPt>
            <c:idx val="3"/>
            <c:bubble3D val="0"/>
            <c:spPr>
              <a:noFill/>
              <a:ln>
                <a:noFill/>
              </a:ln>
              <a:effectLst/>
            </c:spPr>
            <c:extLst>
              <c:ext xmlns:c16="http://schemas.microsoft.com/office/drawing/2014/chart" uri="{C3380CC4-5D6E-409C-BE32-E72D297353CC}">
                <c16:uniqueId val="{00000007-0AB1-4298-AB28-31BD793CE6C0}"/>
              </c:ext>
            </c:extLst>
          </c:dPt>
          <c:cat>
            <c:strRef>
              <c:f>Feb!$U$44:$U$47</c:f>
              <c:strCache>
                <c:ptCount val="4"/>
                <c:pt idx="0">
                  <c:v>Green</c:v>
                </c:pt>
                <c:pt idx="1">
                  <c:v>Yellow</c:v>
                </c:pt>
                <c:pt idx="2">
                  <c:v>Red</c:v>
                </c:pt>
                <c:pt idx="3">
                  <c:v>Blank</c:v>
                </c:pt>
              </c:strCache>
            </c:strRef>
          </c:cat>
          <c:val>
            <c:numRef>
              <c:f>Feb!$W$44:$W$47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0AB1-4298-AB28-31BD793CE6C0}"/>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Feb!$U$42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0AB1-4298-AB28-31BD793CE6C0}"/>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0AB1-4298-AB28-31BD793CE6C0}"/>
              </c:ext>
            </c:extLst>
          </c:dPt>
          <c:dPt>
            <c:idx val="2"/>
            <c:bubble3D val="0"/>
            <c:spPr>
              <a:noFill/>
              <a:ln>
                <a:noFill/>
              </a:ln>
              <a:effectLst/>
            </c:spPr>
            <c:extLst>
              <c:ext xmlns:c16="http://schemas.microsoft.com/office/drawing/2014/chart" uri="{C3380CC4-5D6E-409C-BE32-E72D297353CC}">
                <c16:uniqueId val="{0000000E-0AB1-4298-AB28-31BD793CE6C0}"/>
              </c:ext>
            </c:extLst>
          </c:dPt>
          <c:val>
            <c:numRef>
              <c:f>Feb!$V$42:$X$42</c:f>
              <c:numCache>
                <c:formatCode>0%</c:formatCode>
                <c:ptCount val="3"/>
                <c:pt idx="0">
                  <c:v>0</c:v>
                </c:pt>
                <c:pt idx="1">
                  <c:v>0.01</c:v>
                </c:pt>
                <c:pt idx="2" formatCode="0.00%">
                  <c:v>0</c:v>
                </c:pt>
              </c:numCache>
            </c:numRef>
          </c:val>
          <c:extLst>
            <c:ext xmlns:c16="http://schemas.microsoft.com/office/drawing/2014/chart" uri="{C3380CC4-5D6E-409C-BE32-E72D297353CC}">
              <c16:uniqueId val="{0000000F-0AB1-4298-AB28-31BD793CE6C0}"/>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YEARLY!$U$51:$U$61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YEARLY!$W$51:$W$61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EC3-4AEA-80CB-DE7B22011BCF}"/>
            </c:ext>
          </c:extLst>
        </c:ser>
        <c:ser>
          <c:idx val="2"/>
          <c:order val="2"/>
          <c:tx>
            <c:v>Overachieved</c:v>
          </c:tx>
          <c:spPr>
            <a:ln w="28575">
              <a:noFill/>
            </a:ln>
          </c:spPr>
          <c:invertIfNegative val="0"/>
          <c:cat>
            <c:strRef>
              <c:f>YEARLY!$U$51:$U$61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YEARLY!$Y$51:$Y$61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EC3-4AEA-80CB-DE7B22011BCF}"/>
            </c:ext>
          </c:extLst>
        </c:ser>
        <c:dLbls>
          <c:showLegendKey val="0"/>
          <c:showVal val="0"/>
          <c:showCatName val="0"/>
          <c:showSerName val="0"/>
          <c:showPercent val="0"/>
          <c:showBubbleSize val="0"/>
        </c:dLbls>
        <c:gapWidth val="150"/>
        <c:overlap val="100"/>
        <c:axId val="112297472"/>
        <c:axId val="112299392"/>
      </c:barChart>
      <c:barChart>
        <c:barDir val="col"/>
        <c:grouping val="stacked"/>
        <c:varyColors val="0"/>
        <c:ser>
          <c:idx val="3"/>
          <c:order val="3"/>
          <c:spPr>
            <a:noFill/>
            <a:ln w="12700">
              <a:solidFill>
                <a:schemeClr val="tx1"/>
              </a:solidFill>
            </a:ln>
          </c:spPr>
          <c:invertIfNegative val="0"/>
          <c:cat>
            <c:strRef>
              <c:f>YEARLY!$U$51:$U$61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YEARLY!$V$51:$V$61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EC3-4AEA-80CB-DE7B22011BCF}"/>
            </c:ext>
          </c:extLst>
        </c:ser>
        <c:ser>
          <c:idx val="4"/>
          <c:order val="4"/>
          <c:spPr>
            <a:solidFill>
              <a:srgbClr val="FF0000"/>
            </a:solidFill>
            <a:ln w="9525">
              <a:solidFill>
                <a:schemeClr val="tx1"/>
              </a:solidFill>
            </a:ln>
          </c:spPr>
          <c:invertIfNegative val="0"/>
          <c:cat>
            <c:strRef>
              <c:f>YEARLY!$U$51:$U$61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YEARLY!$X$51:$X$61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6EC3-4AEA-80CB-DE7B22011BCF}"/>
            </c:ext>
          </c:extLst>
        </c:ser>
        <c:dLbls>
          <c:showLegendKey val="0"/>
          <c:showVal val="0"/>
          <c:showCatName val="0"/>
          <c:showSerName val="0"/>
          <c:showPercent val="0"/>
          <c:showBubbleSize val="0"/>
        </c:dLbls>
        <c:gapWidth val="150"/>
        <c:overlap val="100"/>
        <c:axId val="112310912"/>
        <c:axId val="112309376"/>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YEARLY!$U$51:$U$61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YEARLY!$V$51:$V$61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6EC3-4AEA-80CB-DE7B22011BCF}"/>
            </c:ext>
          </c:extLst>
        </c:ser>
        <c:dLbls>
          <c:showLegendKey val="0"/>
          <c:showVal val="0"/>
          <c:showCatName val="0"/>
          <c:showSerName val="0"/>
          <c:showPercent val="0"/>
          <c:showBubbleSize val="0"/>
        </c:dLbls>
        <c:marker val="1"/>
        <c:smooth val="0"/>
        <c:axId val="112297472"/>
        <c:axId val="112299392"/>
      </c:lineChart>
      <c:catAx>
        <c:axId val="112297472"/>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12299392"/>
        <c:crosses val="autoZero"/>
        <c:auto val="1"/>
        <c:lblAlgn val="ctr"/>
        <c:lblOffset val="100"/>
        <c:noMultiLvlLbl val="0"/>
      </c:catAx>
      <c:valAx>
        <c:axId val="112299392"/>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12297472"/>
        <c:crosses val="autoZero"/>
        <c:crossBetween val="between"/>
      </c:valAx>
      <c:valAx>
        <c:axId val="112309376"/>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112310912"/>
        <c:crosses val="max"/>
        <c:crossBetween val="between"/>
      </c:valAx>
      <c:catAx>
        <c:axId val="112310912"/>
        <c:scaling>
          <c:orientation val="minMax"/>
        </c:scaling>
        <c:delete val="1"/>
        <c:axPos val="b"/>
        <c:numFmt formatCode="General" sourceLinked="1"/>
        <c:majorTickMark val="out"/>
        <c:minorTickMark val="none"/>
        <c:tickLblPos val="nextTo"/>
        <c:crossAx val="11230937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BFDF-4D72-BFD4-25145B8A3E55}"/>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BFDF-4D72-BFD4-25145B8A3E55}"/>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6284-4D75-89DB-77FFBB1EADCC}"/>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6284-4D75-89DB-77FFBB1EADCC}"/>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0672621146238"/>
          <c:y val="0"/>
          <c:w val="0.65627265248560351"/>
          <c:h val="0.97279353355166887"/>
        </c:manualLayout>
      </c:layout>
      <c:doughnutChart>
        <c:varyColors val="1"/>
        <c:ser>
          <c:idx val="0"/>
          <c:order val="0"/>
          <c:spPr>
            <a:solidFill>
              <a:srgbClr val="C00000"/>
            </a:solidFill>
          </c:spPr>
          <c:dPt>
            <c:idx val="1"/>
            <c:bubble3D val="0"/>
            <c:spPr>
              <a:solidFill>
                <a:schemeClr val="tx1">
                  <a:lumMod val="50000"/>
                  <a:lumOff val="50000"/>
                </a:schemeClr>
              </a:solidFill>
            </c:spPr>
            <c:extLst>
              <c:ext xmlns:c16="http://schemas.microsoft.com/office/drawing/2014/chart" uri="{C3380CC4-5D6E-409C-BE32-E72D297353CC}">
                <c16:uniqueId val="{00000001-A064-4225-B8AC-EB2D7E9AE428}"/>
              </c:ext>
            </c:extLst>
          </c:dPt>
          <c:val>
            <c:numRef>
              <c:f>'Financial Scorecard'!$AC$26:$AC$27</c:f>
              <c:numCache>
                <c:formatCode>0%</c:formatCode>
                <c:ptCount val="2"/>
                <c:pt idx="0">
                  <c:v>0</c:v>
                </c:pt>
                <c:pt idx="1">
                  <c:v>0</c:v>
                </c:pt>
              </c:numCache>
            </c:numRef>
          </c:val>
          <c:extLst>
            <c:ext xmlns:c16="http://schemas.microsoft.com/office/drawing/2014/chart" uri="{C3380CC4-5D6E-409C-BE32-E72D297353CC}">
              <c16:uniqueId val="{00000002-A064-4225-B8AC-EB2D7E9AE428}"/>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92190281407417"/>
          <c:y val="8.0321285140562249E-2"/>
          <c:w val="0.64291936522364879"/>
          <c:h val="0.90896921017402943"/>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1-784B-4864-B28F-7758482C5B1B}"/>
              </c:ext>
            </c:extLst>
          </c:dPt>
          <c:dPt>
            <c:idx val="1"/>
            <c:bubble3D val="0"/>
            <c:spPr>
              <a:solidFill>
                <a:schemeClr val="tx1">
                  <a:lumMod val="50000"/>
                  <a:lumOff val="50000"/>
                </a:schemeClr>
              </a:solidFill>
            </c:spPr>
            <c:extLst>
              <c:ext xmlns:c16="http://schemas.microsoft.com/office/drawing/2014/chart" uri="{C3380CC4-5D6E-409C-BE32-E72D297353CC}">
                <c16:uniqueId val="{00000003-784B-4864-B28F-7758482C5B1B}"/>
              </c:ext>
            </c:extLst>
          </c:dPt>
          <c:val>
            <c:numRef>
              <c:f>'Financial Scorecard'!$AD$26:$AD$27</c:f>
              <c:numCache>
                <c:formatCode>0%</c:formatCode>
                <c:ptCount val="2"/>
                <c:pt idx="0">
                  <c:v>0</c:v>
                </c:pt>
                <c:pt idx="1">
                  <c:v>0</c:v>
                </c:pt>
              </c:numCache>
            </c:numRef>
          </c:val>
          <c:extLst>
            <c:ext xmlns:c16="http://schemas.microsoft.com/office/drawing/2014/chart" uri="{C3380CC4-5D6E-409C-BE32-E72D297353CC}">
              <c16:uniqueId val="{00000004-784B-4864-B28F-7758482C5B1B}"/>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FF5050">
                <a:alpha val="58000"/>
              </a:srgbClr>
            </a:solidFill>
          </c:spPr>
          <c:dPt>
            <c:idx val="1"/>
            <c:bubble3D val="0"/>
            <c:spPr>
              <a:solidFill>
                <a:schemeClr val="tx1">
                  <a:lumMod val="50000"/>
                  <a:lumOff val="50000"/>
                </a:schemeClr>
              </a:solidFill>
            </c:spPr>
            <c:extLst>
              <c:ext xmlns:c16="http://schemas.microsoft.com/office/drawing/2014/chart" uri="{C3380CC4-5D6E-409C-BE32-E72D297353CC}">
                <c16:uniqueId val="{00000001-6EA9-4B99-BB3F-DA7959F8B20C}"/>
              </c:ext>
            </c:extLst>
          </c:dPt>
          <c:val>
            <c:numRef>
              <c:f>'Financial Scorecard'!$AE$26:$AE$27</c:f>
              <c:numCache>
                <c:formatCode>0%</c:formatCode>
                <c:ptCount val="2"/>
                <c:pt idx="0">
                  <c:v>0</c:v>
                </c:pt>
                <c:pt idx="1">
                  <c:v>1</c:v>
                </c:pt>
              </c:numCache>
            </c:numRef>
          </c:val>
          <c:extLst>
            <c:ext xmlns:c16="http://schemas.microsoft.com/office/drawing/2014/chart" uri="{C3380CC4-5D6E-409C-BE32-E72D297353CC}">
              <c16:uniqueId val="{00000002-6EA9-4B99-BB3F-DA7959F8B20C}"/>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5.3811659192825115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AF90-4A0C-A39F-E4A9AD536C6E}"/>
              </c:ext>
            </c:extLst>
          </c:dP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AF90-4A0C-A39F-E4A9AD536C6E}"/>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7409-4B69-8E08-37E6F226F0C2}"/>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7409-4B69-8E08-37E6F226F0C2}"/>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v>Actual_expenses</c:v>
          </c:tx>
          <c:spPr>
            <a:solidFill>
              <a:schemeClr val="bg1">
                <a:lumMod val="85000"/>
              </a:schemeClr>
            </a:solidFill>
            <a:ln w="28575">
              <a:noFill/>
            </a:ln>
          </c:spPr>
          <c:invertIfNegative val="0"/>
          <c:cat>
            <c:strRef>
              <c:f>Feb!$U$51:$U$61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Feb!$W$51:$W$61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CE0-44E4-9703-1FBABF6711CF}"/>
            </c:ext>
          </c:extLst>
        </c:ser>
        <c:ser>
          <c:idx val="2"/>
          <c:order val="2"/>
          <c:tx>
            <c:v>Overachieved</c:v>
          </c:tx>
          <c:spPr>
            <a:ln w="28575">
              <a:noFill/>
            </a:ln>
          </c:spPr>
          <c:invertIfNegative val="0"/>
          <c:cat>
            <c:strRef>
              <c:f>Feb!$U$51:$U$61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Feb!$Y$51:$Y$61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CE0-44E4-9703-1FBABF6711CF}"/>
            </c:ext>
          </c:extLst>
        </c:ser>
        <c:dLbls>
          <c:showLegendKey val="0"/>
          <c:showVal val="0"/>
          <c:showCatName val="0"/>
          <c:showSerName val="0"/>
          <c:showPercent val="0"/>
          <c:showBubbleSize val="0"/>
        </c:dLbls>
        <c:gapWidth val="150"/>
        <c:overlap val="100"/>
        <c:axId val="91453696"/>
        <c:axId val="91472256"/>
      </c:barChart>
      <c:barChart>
        <c:barDir val="col"/>
        <c:grouping val="stacked"/>
        <c:varyColors val="0"/>
        <c:ser>
          <c:idx val="3"/>
          <c:order val="3"/>
          <c:spPr>
            <a:noFill/>
            <a:ln w="12700">
              <a:solidFill>
                <a:schemeClr val="tx1"/>
              </a:solidFill>
            </a:ln>
          </c:spPr>
          <c:invertIfNegative val="0"/>
          <c:cat>
            <c:strRef>
              <c:f>Feb!$U$51:$U$61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Feb!$V$51:$V$61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4CE0-44E4-9703-1FBABF6711CF}"/>
            </c:ext>
          </c:extLst>
        </c:ser>
        <c:ser>
          <c:idx val="4"/>
          <c:order val="4"/>
          <c:spPr>
            <a:solidFill>
              <a:srgbClr val="FF0000"/>
            </a:solidFill>
            <a:ln w="9525">
              <a:solidFill>
                <a:schemeClr val="tx1"/>
              </a:solidFill>
            </a:ln>
          </c:spPr>
          <c:invertIfNegative val="0"/>
          <c:cat>
            <c:strRef>
              <c:f>Feb!$U$51:$U$61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Feb!$X$51:$X$61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4CE0-44E4-9703-1FBABF6711CF}"/>
            </c:ext>
          </c:extLst>
        </c:ser>
        <c:dLbls>
          <c:showLegendKey val="0"/>
          <c:showVal val="0"/>
          <c:showCatName val="0"/>
          <c:showSerName val="0"/>
          <c:showPercent val="0"/>
          <c:showBubbleSize val="0"/>
        </c:dLbls>
        <c:gapWidth val="150"/>
        <c:overlap val="100"/>
        <c:axId val="91475328"/>
        <c:axId val="91473792"/>
      </c:barChart>
      <c:lineChart>
        <c:grouping val="stacked"/>
        <c:varyColors val="0"/>
        <c:ser>
          <c:idx val="0"/>
          <c:order val="0"/>
          <c:tx>
            <c:v>Marker_Dummy</c:v>
          </c:tx>
          <c:spPr>
            <a:ln>
              <a:noFill/>
            </a:ln>
          </c:spPr>
          <c:marker>
            <c:symbol val="picture"/>
            <c:spPr>
              <a:blipFill>
                <a:blip xmlns:r="http://schemas.openxmlformats.org/officeDocument/2006/relationships" r:embed="rId1"/>
                <a:stretch>
                  <a:fillRect/>
                </a:stretch>
              </a:blipFill>
              <a:ln w="9525">
                <a:noFill/>
              </a:ln>
            </c:spPr>
          </c:marker>
          <c:cat>
            <c:strRef>
              <c:f>Feb!$U$51:$U$61</c:f>
              <c:strCache>
                <c:ptCount val="11"/>
                <c:pt idx="0">
                  <c:v>Rental</c:v>
                </c:pt>
                <c:pt idx="1">
                  <c:v>Entertainment </c:v>
                </c:pt>
                <c:pt idx="2">
                  <c:v>Black Tax</c:v>
                </c:pt>
                <c:pt idx="3">
                  <c:v>Airtime/Data</c:v>
                </c:pt>
                <c:pt idx="4">
                  <c:v>Bank charges</c:v>
                </c:pt>
                <c:pt idx="5">
                  <c:v>Clothes</c:v>
                </c:pt>
                <c:pt idx="6">
                  <c:v>Groceries</c:v>
                </c:pt>
                <c:pt idx="7">
                  <c:v>Hair</c:v>
                </c:pt>
                <c:pt idx="8">
                  <c:v>Transport</c:v>
                </c:pt>
                <c:pt idx="9">
                  <c:v>Stationery </c:v>
                </c:pt>
                <c:pt idx="10">
                  <c:v>Other </c:v>
                </c:pt>
              </c:strCache>
            </c:strRef>
          </c:cat>
          <c:val>
            <c:numRef>
              <c:f>Feb!$V$51:$V$61</c:f>
              <c:numCache>
                <c:formatCode>[$R-1C09]\ #\ ##0.00;[Red][$R-1C09]\ \-#\ ##0.00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4CE0-44E4-9703-1FBABF6711CF}"/>
            </c:ext>
          </c:extLst>
        </c:ser>
        <c:dLbls>
          <c:showLegendKey val="0"/>
          <c:showVal val="0"/>
          <c:showCatName val="0"/>
          <c:showSerName val="0"/>
          <c:showPercent val="0"/>
          <c:showBubbleSize val="0"/>
        </c:dLbls>
        <c:marker val="1"/>
        <c:smooth val="0"/>
        <c:axId val="91453696"/>
        <c:axId val="91472256"/>
      </c:lineChart>
      <c:catAx>
        <c:axId val="91453696"/>
        <c:scaling>
          <c:orientation val="minMax"/>
        </c:scaling>
        <c:delete val="0"/>
        <c:axPos val="b"/>
        <c:numFmt formatCode="General" sourceLinked="0"/>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1472256"/>
        <c:crosses val="autoZero"/>
        <c:auto val="1"/>
        <c:lblAlgn val="ctr"/>
        <c:lblOffset val="100"/>
        <c:noMultiLvlLbl val="0"/>
      </c:catAx>
      <c:valAx>
        <c:axId val="91472256"/>
        <c:scaling>
          <c:orientation val="minMax"/>
        </c:scaling>
        <c:delete val="0"/>
        <c:axPos val="l"/>
        <c:majorGridlines>
          <c:spPr>
            <a:ln>
              <a:noFill/>
            </a:ln>
          </c:spPr>
        </c:majorGridlines>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1453696"/>
        <c:crosses val="autoZero"/>
        <c:crossBetween val="between"/>
      </c:valAx>
      <c:valAx>
        <c:axId val="91473792"/>
        <c:scaling>
          <c:orientation val="minMax"/>
        </c:scaling>
        <c:delete val="0"/>
        <c:axPos val="r"/>
        <c:numFmt formatCode="[$R-1C09]\ #\ ##0.00;[Red][$R-1C09]\ \-#\ ##0.00" sourceLinked="1"/>
        <c:majorTickMark val="out"/>
        <c:minorTickMark val="none"/>
        <c:tickLblPos val="nextTo"/>
        <c:txPr>
          <a:bodyPr/>
          <a:lstStyle/>
          <a:p>
            <a:pPr>
              <a:defRPr sz="800" b="1">
                <a:solidFill>
                  <a:srgbClr val="FF5050"/>
                </a:solidFill>
                <a:latin typeface="Century Gothic" panose="020B0502020202020204" pitchFamily="34" charset="0"/>
              </a:defRPr>
            </a:pPr>
            <a:endParaRPr lang="en-US"/>
          </a:p>
        </c:txPr>
        <c:crossAx val="91475328"/>
        <c:crosses val="max"/>
        <c:crossBetween val="between"/>
      </c:valAx>
      <c:catAx>
        <c:axId val="91475328"/>
        <c:scaling>
          <c:orientation val="minMax"/>
        </c:scaling>
        <c:delete val="1"/>
        <c:axPos val="b"/>
        <c:numFmt formatCode="General" sourceLinked="1"/>
        <c:majorTickMark val="out"/>
        <c:minorTickMark val="none"/>
        <c:tickLblPos val="nextTo"/>
        <c:crossAx val="91473792"/>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8744394618833"/>
          <c:y val="6.5769805680119586E-2"/>
          <c:w val="0.55695067264573994"/>
          <c:h val="0.9282511210762332"/>
        </c:manualLayout>
      </c:layout>
      <c:doughnutChart>
        <c:varyColors val="1"/>
        <c:ser>
          <c:idx val="0"/>
          <c:order val="0"/>
          <c:spPr>
            <a:solidFill>
              <a:srgbClr val="0070C0"/>
            </a:solidFill>
          </c:spPr>
          <c:dPt>
            <c:idx val="0"/>
            <c:bubble3D val="0"/>
            <c:spPr>
              <a:solidFill>
                <a:srgbClr val="00B0F0"/>
              </a:solidFill>
              <a:ln>
                <a:noFill/>
              </a:ln>
            </c:spPr>
            <c:extLst>
              <c:ext xmlns:c16="http://schemas.microsoft.com/office/drawing/2014/chart" uri="{C3380CC4-5D6E-409C-BE32-E72D297353CC}">
                <c16:uniqueId val="{00000001-F8AD-4FA3-80AF-09036131BA81}"/>
              </c:ext>
            </c:extLst>
          </c:dPt>
          <c:cat>
            <c:multiLvlStrRef>
              <c:f>'Savings and Investments'!$T$37</c:f>
            </c:multiLvlStrRef>
          </c:cat>
          <c:val>
            <c:numRef>
              <c:f>'Savings and Investments'!$AB$24:$AB$25</c:f>
              <c:numCache>
                <c:formatCode>0%</c:formatCode>
                <c:ptCount val="2"/>
                <c:pt idx="0">
                  <c:v>0</c:v>
                </c:pt>
                <c:pt idx="1">
                  <c:v>0</c:v>
                </c:pt>
              </c:numCache>
            </c:numRef>
          </c:val>
          <c:extLst>
            <c:ext xmlns:c16="http://schemas.microsoft.com/office/drawing/2014/chart" uri="{C3380CC4-5D6E-409C-BE32-E72D297353CC}">
              <c16:uniqueId val="{00000002-F8AD-4FA3-80AF-09036131BA81}"/>
            </c:ext>
          </c:extLst>
        </c:ser>
        <c:dLbls>
          <c:showLegendKey val="0"/>
          <c:showVal val="0"/>
          <c:showCatName val="0"/>
          <c:showSerName val="0"/>
          <c:showPercent val="0"/>
          <c:showBubbleSize val="0"/>
          <c:showLeaderLines val="1"/>
        </c:dLbls>
        <c:firstSliceAng val="240"/>
        <c:holeSize val="73"/>
      </c:doughnutChart>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0269882285387"/>
          <c:y val="7.183908045977011E-2"/>
          <c:w val="0.54565030146425497"/>
          <c:h val="0.9102011494252874"/>
        </c:manualLayout>
      </c:layout>
      <c:doughnutChart>
        <c:varyColors val="1"/>
        <c:ser>
          <c:idx val="0"/>
          <c:order val="0"/>
          <c:dPt>
            <c:idx val="1"/>
            <c:bubble3D val="0"/>
            <c:spPr>
              <a:solidFill>
                <a:srgbClr val="00B0F0"/>
              </a:solidFill>
            </c:spPr>
            <c:extLst>
              <c:ext xmlns:c16="http://schemas.microsoft.com/office/drawing/2014/chart" uri="{C3380CC4-5D6E-409C-BE32-E72D297353CC}">
                <c16:uniqueId val="{00000001-D787-415D-98BB-281AAF712992}"/>
              </c:ext>
            </c:extLst>
          </c:dPt>
          <c:val>
            <c:numRef>
              <c:f>'Savings and Investments'!$AD$24:$AD$25</c:f>
              <c:numCache>
                <c:formatCode>0%</c:formatCode>
                <c:ptCount val="2"/>
                <c:pt idx="0">
                  <c:v>0</c:v>
                </c:pt>
                <c:pt idx="1">
                  <c:v>0</c:v>
                </c:pt>
              </c:numCache>
            </c:numRef>
          </c:val>
          <c:extLst>
            <c:ext xmlns:c16="http://schemas.microsoft.com/office/drawing/2014/chart" uri="{C3380CC4-5D6E-409C-BE32-E72D297353CC}">
              <c16:uniqueId val="{00000002-D787-415D-98BB-281AAF712992}"/>
            </c:ext>
          </c:extLst>
        </c:ser>
        <c:dLbls>
          <c:showLegendKey val="0"/>
          <c:showVal val="0"/>
          <c:showCatName val="0"/>
          <c:showSerName val="0"/>
          <c:showPercent val="0"/>
          <c:showBubbleSize val="0"/>
          <c:showLeaderLines val="1"/>
        </c:dLbls>
        <c:firstSliceAng val="0"/>
        <c:holeSize val="73"/>
      </c:doughnutChart>
    </c:plotArea>
    <c:plotVisOnly val="1"/>
    <c:dispBlanksAs val="gap"/>
    <c:showDLblsOverMax val="0"/>
  </c:chart>
  <c:spPr>
    <a:no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5556564110483"/>
          <c:y val="5.0925944490355965E-2"/>
          <c:w val="0.5555555798580839"/>
          <c:h val="0.92592589892311861"/>
        </c:manualLayout>
      </c:layout>
      <c:doughnutChart>
        <c:varyColors val="1"/>
        <c:ser>
          <c:idx val="0"/>
          <c:order val="0"/>
          <c:spPr>
            <a:ln>
              <a:noFill/>
            </a:ln>
            <a:effectLst/>
          </c:spPr>
          <c:dPt>
            <c:idx val="0"/>
            <c:bubble3D val="0"/>
            <c:spPr>
              <a:gradFill flip="none" rotWithShape="1">
                <a:gsLst>
                  <a:gs pos="0">
                    <a:schemeClr val="accent3">
                      <a:lumMod val="50000"/>
                    </a:schemeClr>
                  </a:gs>
                  <a:gs pos="50000">
                    <a:srgbClr val="92D050"/>
                  </a:gs>
                  <a:gs pos="100000">
                    <a:schemeClr val="accent3">
                      <a:lumMod val="50000"/>
                      <a:alpha val="0"/>
                    </a:schemeClr>
                  </a:gs>
                </a:gsLst>
                <a:lin ang="2700000" scaled="1"/>
                <a:tileRect/>
              </a:gradFill>
              <a:ln>
                <a:noFill/>
              </a:ln>
              <a:effectLst/>
            </c:spPr>
            <c:extLst>
              <c:ext xmlns:c16="http://schemas.microsoft.com/office/drawing/2014/chart" uri="{C3380CC4-5D6E-409C-BE32-E72D297353CC}">
                <c16:uniqueId val="{00000001-22E5-4F0B-AC0C-F8E5D1C6FFE3}"/>
              </c:ext>
            </c:extLst>
          </c:dPt>
          <c:dPt>
            <c:idx val="1"/>
            <c:bubble3D val="0"/>
            <c:spPr>
              <a:gradFill>
                <a:gsLst>
                  <a:gs pos="0">
                    <a:srgbClr val="FFC000"/>
                  </a:gs>
                  <a:gs pos="50000">
                    <a:srgbClr val="FFFF00"/>
                  </a:gs>
                  <a:gs pos="100000">
                    <a:srgbClr val="FFC000"/>
                  </a:gs>
                </a:gsLst>
                <a:lin ang="2700000" scaled="1"/>
              </a:gradFill>
              <a:ln>
                <a:noFill/>
              </a:ln>
              <a:effectLst/>
            </c:spPr>
            <c:extLst>
              <c:ext xmlns:c16="http://schemas.microsoft.com/office/drawing/2014/chart" uri="{C3380CC4-5D6E-409C-BE32-E72D297353CC}">
                <c16:uniqueId val="{00000003-22E5-4F0B-AC0C-F8E5D1C6FFE3}"/>
              </c:ext>
            </c:extLst>
          </c:dPt>
          <c:dPt>
            <c:idx val="2"/>
            <c:bubble3D val="0"/>
            <c:spPr>
              <a:gradFill>
                <a:gsLst>
                  <a:gs pos="0">
                    <a:srgbClr val="C00000"/>
                  </a:gs>
                  <a:gs pos="50000">
                    <a:srgbClr val="FF0000"/>
                  </a:gs>
                  <a:gs pos="100000">
                    <a:srgbClr val="C00000"/>
                  </a:gs>
                </a:gsLst>
                <a:lin ang="2700000" scaled="1"/>
              </a:gradFill>
              <a:ln>
                <a:noFill/>
              </a:ln>
              <a:effectLst/>
            </c:spPr>
            <c:extLst>
              <c:ext xmlns:c16="http://schemas.microsoft.com/office/drawing/2014/chart" uri="{C3380CC4-5D6E-409C-BE32-E72D297353CC}">
                <c16:uniqueId val="{00000005-22E5-4F0B-AC0C-F8E5D1C6FFE3}"/>
              </c:ext>
            </c:extLst>
          </c:dPt>
          <c:dPt>
            <c:idx val="3"/>
            <c:bubble3D val="0"/>
            <c:spPr>
              <a:noFill/>
              <a:ln>
                <a:noFill/>
              </a:ln>
              <a:effectLst/>
            </c:spPr>
            <c:extLst>
              <c:ext xmlns:c16="http://schemas.microsoft.com/office/drawing/2014/chart" uri="{C3380CC4-5D6E-409C-BE32-E72D297353CC}">
                <c16:uniqueId val="{00000007-22E5-4F0B-AC0C-F8E5D1C6FFE3}"/>
              </c:ext>
            </c:extLst>
          </c:dPt>
          <c:cat>
            <c:strRef>
              <c:f>Mar!$U$44:$U$47</c:f>
              <c:strCache>
                <c:ptCount val="4"/>
                <c:pt idx="0">
                  <c:v>Green</c:v>
                </c:pt>
                <c:pt idx="1">
                  <c:v>Yellow</c:v>
                </c:pt>
                <c:pt idx="2">
                  <c:v>Red</c:v>
                </c:pt>
                <c:pt idx="3">
                  <c:v>Blank</c:v>
                </c:pt>
              </c:strCache>
            </c:strRef>
          </c:cat>
          <c:val>
            <c:numRef>
              <c:f>Mar!$W$44:$W$47</c:f>
              <c:numCache>
                <c:formatCode>0%</c:formatCode>
                <c:ptCount val="4"/>
                <c:pt idx="0">
                  <c:v>0.35</c:v>
                </c:pt>
                <c:pt idx="1">
                  <c:v>0.35</c:v>
                </c:pt>
                <c:pt idx="2">
                  <c:v>0.3</c:v>
                </c:pt>
                <c:pt idx="3">
                  <c:v>0.5</c:v>
                </c:pt>
              </c:numCache>
            </c:numRef>
          </c:val>
          <c:extLst>
            <c:ext xmlns:c16="http://schemas.microsoft.com/office/drawing/2014/chart" uri="{C3380CC4-5D6E-409C-BE32-E72D297353CC}">
              <c16:uniqueId val="{00000008-22E5-4F0B-AC0C-F8E5D1C6FFE3}"/>
            </c:ext>
          </c:extLst>
        </c:ser>
        <c:dLbls>
          <c:showLegendKey val="0"/>
          <c:showVal val="0"/>
          <c:showCatName val="0"/>
          <c:showSerName val="0"/>
          <c:showPercent val="0"/>
          <c:showBubbleSize val="0"/>
          <c:showLeaderLines val="1"/>
        </c:dLbls>
        <c:firstSliceAng val="240"/>
        <c:holeSize val="73"/>
      </c:doughnutChart>
      <c:pieChart>
        <c:varyColors val="0"/>
        <c:ser>
          <c:idx val="1"/>
          <c:order val="1"/>
          <c:tx>
            <c:strRef>
              <c:f>Mar!$U$42</c:f>
              <c:strCache>
                <c:ptCount val="1"/>
                <c:pt idx="0">
                  <c:v>SL%</c:v>
                </c:pt>
              </c:strCache>
            </c:strRef>
          </c:tx>
          <c:spPr>
            <a:solidFill>
              <a:schemeClr val="tx1"/>
            </a:solidFill>
            <a:ln>
              <a:noFill/>
            </a:ln>
            <a:effectLst/>
          </c:spPr>
          <c:dPt>
            <c:idx val="0"/>
            <c:bubble3D val="0"/>
            <c:explosion val="1"/>
            <c:spPr>
              <a:noFill/>
              <a:ln>
                <a:noFill/>
              </a:ln>
              <a:effectLst/>
            </c:spPr>
            <c:extLst>
              <c:ext xmlns:c16="http://schemas.microsoft.com/office/drawing/2014/chart" uri="{C3380CC4-5D6E-409C-BE32-E72D297353CC}">
                <c16:uniqueId val="{0000000A-22E5-4F0B-AC0C-F8E5D1C6FFE3}"/>
              </c:ext>
            </c:extLst>
          </c:dPt>
          <c:dPt>
            <c:idx val="1"/>
            <c:bubble3D val="0"/>
            <c:spPr>
              <a:gradFill>
                <a:gsLst>
                  <a:gs pos="0">
                    <a:schemeClr val="tx1">
                      <a:lumMod val="65000"/>
                      <a:lumOff val="35000"/>
                    </a:schemeClr>
                  </a:gs>
                  <a:gs pos="50000">
                    <a:schemeClr val="tx1"/>
                  </a:gs>
                  <a:gs pos="100000">
                    <a:schemeClr val="tx1">
                      <a:lumMod val="50000"/>
                      <a:lumOff val="50000"/>
                    </a:schemeClr>
                  </a:gs>
                </a:gsLst>
                <a:lin ang="2700000" scaled="1"/>
              </a:gradFill>
              <a:ln>
                <a:noFill/>
              </a:ln>
              <a:effectLst/>
            </c:spPr>
            <c:extLst>
              <c:ext xmlns:c16="http://schemas.microsoft.com/office/drawing/2014/chart" uri="{C3380CC4-5D6E-409C-BE32-E72D297353CC}">
                <c16:uniqueId val="{0000000C-22E5-4F0B-AC0C-F8E5D1C6FFE3}"/>
              </c:ext>
            </c:extLst>
          </c:dPt>
          <c:dPt>
            <c:idx val="2"/>
            <c:bubble3D val="0"/>
            <c:spPr>
              <a:noFill/>
              <a:ln>
                <a:noFill/>
              </a:ln>
              <a:effectLst/>
            </c:spPr>
            <c:extLst>
              <c:ext xmlns:c16="http://schemas.microsoft.com/office/drawing/2014/chart" uri="{C3380CC4-5D6E-409C-BE32-E72D297353CC}">
                <c16:uniqueId val="{0000000E-22E5-4F0B-AC0C-F8E5D1C6FFE3}"/>
              </c:ext>
            </c:extLst>
          </c:dPt>
          <c:val>
            <c:numRef>
              <c:f>Mar!$V$42:$X$42</c:f>
              <c:numCache>
                <c:formatCode>0%</c:formatCode>
                <c:ptCount val="3"/>
                <c:pt idx="0">
                  <c:v>0</c:v>
                </c:pt>
                <c:pt idx="1">
                  <c:v>0.01</c:v>
                </c:pt>
                <c:pt idx="2" formatCode="0.00%">
                  <c:v>0</c:v>
                </c:pt>
              </c:numCache>
            </c:numRef>
          </c:val>
          <c:extLst>
            <c:ext xmlns:c16="http://schemas.microsoft.com/office/drawing/2014/chart" uri="{C3380CC4-5D6E-409C-BE32-E72D297353CC}">
              <c16:uniqueId val="{0000000F-22E5-4F0B-AC0C-F8E5D1C6FFE3}"/>
            </c:ext>
          </c:extLst>
        </c:ser>
        <c:dLbls>
          <c:showLegendKey val="0"/>
          <c:showVal val="0"/>
          <c:showCatName val="0"/>
          <c:showSerName val="0"/>
          <c:showPercent val="0"/>
          <c:showBubbleSize val="0"/>
          <c:showLeaderLines val="1"/>
        </c:dLbls>
        <c:firstSliceAng val="240"/>
      </c:pieChart>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Financial Scorecard'!A1"/><Relationship Id="rId13" Type="http://schemas.openxmlformats.org/officeDocument/2006/relationships/image" Target="../media/image3.png"/><Relationship Id="rId3" Type="http://schemas.openxmlformats.org/officeDocument/2006/relationships/hyperlink" Target="#Mar!A1"/><Relationship Id="rId7" Type="http://schemas.openxmlformats.org/officeDocument/2006/relationships/hyperlink" Target="#Jul!A1"/><Relationship Id="rId12" Type="http://schemas.openxmlformats.org/officeDocument/2006/relationships/hyperlink" Target="#Help!A1"/><Relationship Id="rId2" Type="http://schemas.openxmlformats.org/officeDocument/2006/relationships/image" Target="../media/image2.png"/><Relationship Id="rId16"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hyperlink" Target="#Jun!A1"/><Relationship Id="rId11" Type="http://schemas.openxmlformats.org/officeDocument/2006/relationships/hyperlink" Target="#InterestCalculators!A1"/><Relationship Id="rId5" Type="http://schemas.openxmlformats.org/officeDocument/2006/relationships/hyperlink" Target="#May!A1"/><Relationship Id="rId15" Type="http://schemas.openxmlformats.org/officeDocument/2006/relationships/image" Target="../media/image5.png"/><Relationship Id="rId10" Type="http://schemas.openxmlformats.org/officeDocument/2006/relationships/hyperlink" Target="#'Monthly Budgets'!A1"/><Relationship Id="rId4" Type="http://schemas.openxmlformats.org/officeDocument/2006/relationships/hyperlink" Target="#Apr!A1"/><Relationship Id="rId9" Type="http://schemas.openxmlformats.org/officeDocument/2006/relationships/hyperlink" Target="#'Savings and Investments'!A1"/><Relationship Id="rId1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17.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hyperlink" Target="#'Monthly Budgets'!A1"/><Relationship Id="rId4" Type="http://schemas.openxmlformats.org/officeDocument/2006/relationships/chart" Target="../charts/chart18.xml"/><Relationship Id="rId9" Type="http://schemas.openxmlformats.org/officeDocument/2006/relationships/hyperlink" Target="#'Savings and Investments'!A1"/></Relationships>
</file>

<file path=xl/drawings/_rels/drawing13.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21.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4.xml"/><Relationship Id="rId5" Type="http://schemas.openxmlformats.org/officeDocument/2006/relationships/chart" Target="../charts/chart23.xml"/><Relationship Id="rId10" Type="http://schemas.openxmlformats.org/officeDocument/2006/relationships/hyperlink" Target="#'Monthly Budgets'!A1"/><Relationship Id="rId4" Type="http://schemas.openxmlformats.org/officeDocument/2006/relationships/chart" Target="../charts/chart22.xml"/><Relationship Id="rId9" Type="http://schemas.openxmlformats.org/officeDocument/2006/relationships/hyperlink" Target="#'Savings and Investments'!A1"/></Relationships>
</file>

<file path=xl/drawings/_rels/drawing15.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25.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8.xml"/><Relationship Id="rId5" Type="http://schemas.openxmlformats.org/officeDocument/2006/relationships/chart" Target="../charts/chart27.xml"/><Relationship Id="rId10" Type="http://schemas.openxmlformats.org/officeDocument/2006/relationships/hyperlink" Target="#'Monthly Budgets'!A1"/><Relationship Id="rId4" Type="http://schemas.openxmlformats.org/officeDocument/2006/relationships/chart" Target="../charts/chart26.xml"/><Relationship Id="rId9" Type="http://schemas.openxmlformats.org/officeDocument/2006/relationships/hyperlink" Target="#'Savings and Investments'!A1"/></Relationships>
</file>

<file path=xl/drawings/_rels/drawing17.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29.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hyperlink" Target="#'Monthly Budgets'!A1"/><Relationship Id="rId4" Type="http://schemas.openxmlformats.org/officeDocument/2006/relationships/chart" Target="../charts/chart30.xml"/><Relationship Id="rId9" Type="http://schemas.openxmlformats.org/officeDocument/2006/relationships/hyperlink" Target="#'Savings and Investments'!A1"/></Relationships>
</file>

<file path=xl/drawings/_rels/drawing19.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33.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6.xml"/><Relationship Id="rId5" Type="http://schemas.openxmlformats.org/officeDocument/2006/relationships/chart" Target="../charts/chart35.xml"/><Relationship Id="rId10" Type="http://schemas.openxmlformats.org/officeDocument/2006/relationships/hyperlink" Target="#'Monthly Budgets'!A1"/><Relationship Id="rId4" Type="http://schemas.openxmlformats.org/officeDocument/2006/relationships/chart" Target="../charts/chart34.xml"/><Relationship Id="rId9" Type="http://schemas.openxmlformats.org/officeDocument/2006/relationships/hyperlink" Target="#'Savings and Investments'!A1"/></Relationships>
</file>

<file path=xl/drawings/_rels/drawing2.xml.rels><?xml version="1.0" encoding="UTF-8" standalone="yes"?>
<Relationships xmlns="http://schemas.openxmlformats.org/package/2006/relationships"><Relationship Id="rId8" Type="http://schemas.openxmlformats.org/officeDocument/2006/relationships/hyperlink" Target="#Jan!A1"/><Relationship Id="rId13" Type="http://schemas.openxmlformats.org/officeDocument/2006/relationships/hyperlink" Target="#Oct!A1"/><Relationship Id="rId18" Type="http://schemas.openxmlformats.org/officeDocument/2006/relationships/hyperlink" Target="#'Financial Scorecard'!A1"/><Relationship Id="rId3" Type="http://schemas.openxmlformats.org/officeDocument/2006/relationships/hyperlink" Target="#Mar!A1"/><Relationship Id="rId7" Type="http://schemas.openxmlformats.org/officeDocument/2006/relationships/hyperlink" Target="#Jul!A1"/><Relationship Id="rId12" Type="http://schemas.openxmlformats.org/officeDocument/2006/relationships/hyperlink" Target="#Sep!A1"/><Relationship Id="rId17" Type="http://schemas.openxmlformats.org/officeDocument/2006/relationships/hyperlink" Target="#Home!A1"/><Relationship Id="rId2" Type="http://schemas.openxmlformats.org/officeDocument/2006/relationships/image" Target="../media/image2.png"/><Relationship Id="rId16" Type="http://schemas.openxmlformats.org/officeDocument/2006/relationships/hyperlink" Target="#YEARLY!A1"/><Relationship Id="rId1" Type="http://schemas.openxmlformats.org/officeDocument/2006/relationships/image" Target="../media/image1.png"/><Relationship Id="rId6" Type="http://schemas.openxmlformats.org/officeDocument/2006/relationships/hyperlink" Target="#Jun!A1"/><Relationship Id="rId11" Type="http://schemas.openxmlformats.org/officeDocument/2006/relationships/hyperlink" Target="#Aug!A1"/><Relationship Id="rId5" Type="http://schemas.openxmlformats.org/officeDocument/2006/relationships/hyperlink" Target="#May!A1"/><Relationship Id="rId15" Type="http://schemas.openxmlformats.org/officeDocument/2006/relationships/hyperlink" Target="#Dec!A1"/><Relationship Id="rId10" Type="http://schemas.openxmlformats.org/officeDocument/2006/relationships/hyperlink" Target="#'Apr '!A1"/><Relationship Id="rId19" Type="http://schemas.openxmlformats.org/officeDocument/2006/relationships/hyperlink" Target="#'Savings and Investments'!A1"/><Relationship Id="rId4" Type="http://schemas.openxmlformats.org/officeDocument/2006/relationships/hyperlink" Target="#Apr!A1"/><Relationship Id="rId9" Type="http://schemas.openxmlformats.org/officeDocument/2006/relationships/hyperlink" Target="#Feb!A1"/><Relationship Id="rId14" Type="http://schemas.openxmlformats.org/officeDocument/2006/relationships/hyperlink" Target="#Nov!A1"/></Relationships>
</file>

<file path=xl/drawings/_rels/drawing21.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37.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0.xml"/><Relationship Id="rId5" Type="http://schemas.openxmlformats.org/officeDocument/2006/relationships/chart" Target="../charts/chart39.xml"/><Relationship Id="rId10" Type="http://schemas.openxmlformats.org/officeDocument/2006/relationships/hyperlink" Target="#'Monthly Budgets'!A1"/><Relationship Id="rId4" Type="http://schemas.openxmlformats.org/officeDocument/2006/relationships/chart" Target="../charts/chart38.xml"/><Relationship Id="rId9" Type="http://schemas.openxmlformats.org/officeDocument/2006/relationships/hyperlink" Target="#'Savings and Investments'!A1"/></Relationships>
</file>

<file path=xl/drawings/_rels/drawing23.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41.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4.xml"/><Relationship Id="rId5" Type="http://schemas.openxmlformats.org/officeDocument/2006/relationships/chart" Target="../charts/chart43.xml"/><Relationship Id="rId10" Type="http://schemas.openxmlformats.org/officeDocument/2006/relationships/hyperlink" Target="#'Monthly Budgets'!A1"/><Relationship Id="rId4" Type="http://schemas.openxmlformats.org/officeDocument/2006/relationships/chart" Target="../charts/chart42.xml"/><Relationship Id="rId9" Type="http://schemas.openxmlformats.org/officeDocument/2006/relationships/hyperlink" Target="#'Savings and Investments'!A1"/></Relationships>
</file>

<file path=xl/drawings/_rels/drawing25.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45.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8.xml"/><Relationship Id="rId5" Type="http://schemas.openxmlformats.org/officeDocument/2006/relationships/chart" Target="../charts/chart47.xml"/><Relationship Id="rId10" Type="http://schemas.openxmlformats.org/officeDocument/2006/relationships/hyperlink" Target="#'Monthly Budgets'!A1"/><Relationship Id="rId4" Type="http://schemas.openxmlformats.org/officeDocument/2006/relationships/chart" Target="../charts/chart46.xml"/><Relationship Id="rId9" Type="http://schemas.openxmlformats.org/officeDocument/2006/relationships/hyperlink" Target="#'Savings and Investments'!A1"/></Relationships>
</file>

<file path=xl/drawings/_rels/drawing27.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49.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52.xml"/><Relationship Id="rId5" Type="http://schemas.openxmlformats.org/officeDocument/2006/relationships/chart" Target="../charts/chart51.xml"/><Relationship Id="rId10" Type="http://schemas.openxmlformats.org/officeDocument/2006/relationships/hyperlink" Target="#'Monthly Budgets'!A1"/><Relationship Id="rId4" Type="http://schemas.openxmlformats.org/officeDocument/2006/relationships/chart" Target="../charts/chart50.xml"/><Relationship Id="rId9" Type="http://schemas.openxmlformats.org/officeDocument/2006/relationships/hyperlink" Target="#'Savings and Investments'!A1"/></Relationships>
</file>

<file path=xl/drawings/_rels/drawing29.xml.rels><?xml version="1.0" encoding="UTF-8" standalone="yes"?>
<Relationships xmlns="http://schemas.openxmlformats.org/package/2006/relationships"><Relationship Id="rId8" Type="http://schemas.openxmlformats.org/officeDocument/2006/relationships/hyperlink" Target="#'Monthly Budgets'!A1"/><Relationship Id="rId3" Type="http://schemas.openxmlformats.org/officeDocument/2006/relationships/chart" Target="../charts/chart53.xml"/><Relationship Id="rId7" Type="http://schemas.openxmlformats.org/officeDocument/2006/relationships/hyperlink" Target="#'Savings and Investment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me!A1"/><Relationship Id="rId5" Type="http://schemas.openxmlformats.org/officeDocument/2006/relationships/chart" Target="../charts/chart55.xml"/><Relationship Id="rId4" Type="http://schemas.openxmlformats.org/officeDocument/2006/relationships/chart" Target="../charts/chart54.xml"/></Relationships>
</file>

<file path=xl/drawings/_rels/drawing3.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1.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10" Type="http://schemas.openxmlformats.org/officeDocument/2006/relationships/hyperlink" Target="#'Monthly Budgets'!A1"/><Relationship Id="rId4" Type="http://schemas.openxmlformats.org/officeDocument/2006/relationships/chart" Target="../charts/chart2.xml"/><Relationship Id="rId9" Type="http://schemas.openxmlformats.org/officeDocument/2006/relationships/hyperlink" Target="#'Savings and Investments'!A1"/></Relationships>
</file>

<file path=xl/drawings/_rels/drawing33.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hyperlink" Target="#'Monthly Budget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Financial Scorecard'!A1"/><Relationship Id="rId5" Type="http://schemas.openxmlformats.org/officeDocument/2006/relationships/hyperlink" Target="#Home!A1"/><Relationship Id="rId4" Type="http://schemas.openxmlformats.org/officeDocument/2006/relationships/chart" Target="../charts/chart57.xml"/></Relationships>
</file>

<file path=xl/drawings/_rels/drawing35.xml.rels><?xml version="1.0" encoding="UTF-8" standalone="yes"?>
<Relationships xmlns="http://schemas.openxmlformats.org/package/2006/relationships"><Relationship Id="rId3" Type="http://schemas.openxmlformats.org/officeDocument/2006/relationships/hyperlink" Target="#'Financial Scorecard'!A1"/><Relationship Id="rId2" Type="http://schemas.openxmlformats.org/officeDocument/2006/relationships/hyperlink" Target="#Home!A1"/><Relationship Id="rId1" Type="http://schemas.openxmlformats.org/officeDocument/2006/relationships/image" Target="../media/image8.png"/><Relationship Id="rId5" Type="http://schemas.openxmlformats.org/officeDocument/2006/relationships/hyperlink" Target="#'Monthly Budgets'!A1"/><Relationship Id="rId4" Type="http://schemas.openxmlformats.org/officeDocument/2006/relationships/hyperlink" Target="#'Savings and Investments'!A1"/></Relationships>
</file>

<file path=xl/drawings/_rels/drawing3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Monthly Budgets'!A1"/><Relationship Id="rId5" Type="http://schemas.openxmlformats.org/officeDocument/2006/relationships/hyperlink" Target="#'Savings and Investments'!A1"/><Relationship Id="rId4" Type="http://schemas.openxmlformats.org/officeDocument/2006/relationships/hyperlink" Target="#'Financial Scorecard'!A1"/></Relationships>
</file>

<file path=xl/drawings/_rels/drawing5.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5.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hyperlink" Target="#'Monthly Budgets'!A1"/><Relationship Id="rId4" Type="http://schemas.openxmlformats.org/officeDocument/2006/relationships/chart" Target="../charts/chart6.xml"/><Relationship Id="rId9" Type="http://schemas.openxmlformats.org/officeDocument/2006/relationships/hyperlink" Target="#'Savings and Investments'!A1"/></Relationships>
</file>

<file path=xl/drawings/_rels/drawing7.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9.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2.xml"/><Relationship Id="rId5" Type="http://schemas.openxmlformats.org/officeDocument/2006/relationships/chart" Target="../charts/chart11.xml"/><Relationship Id="rId10" Type="http://schemas.openxmlformats.org/officeDocument/2006/relationships/hyperlink" Target="#'Monthly Budgets'!A1"/><Relationship Id="rId4" Type="http://schemas.openxmlformats.org/officeDocument/2006/relationships/chart" Target="../charts/chart10.xml"/><Relationship Id="rId9" Type="http://schemas.openxmlformats.org/officeDocument/2006/relationships/hyperlink" Target="#'Savings and Investments'!A1"/></Relationships>
</file>

<file path=xl/drawings/_rels/drawing9.xml.rels><?xml version="1.0" encoding="UTF-8" standalone="yes"?>
<Relationships xmlns="http://schemas.openxmlformats.org/package/2006/relationships"><Relationship Id="rId8" Type="http://schemas.openxmlformats.org/officeDocument/2006/relationships/hyperlink" Target="#'Financial Scorecard'!A1"/><Relationship Id="rId3" Type="http://schemas.openxmlformats.org/officeDocument/2006/relationships/chart" Target="../charts/chart13.xml"/><Relationship Id="rId7" Type="http://schemas.openxmlformats.org/officeDocument/2006/relationships/hyperlink" Target="#H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hyperlink" Target="#'Monthly Budgets'!A1"/><Relationship Id="rId4" Type="http://schemas.openxmlformats.org/officeDocument/2006/relationships/chart" Target="../charts/chart14.xml"/><Relationship Id="rId9" Type="http://schemas.openxmlformats.org/officeDocument/2006/relationships/hyperlink" Target="#'Savings and Investments'!A1"/></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19050</xdr:rowOff>
    </xdr:from>
    <xdr:ext cx="2356139" cy="820363"/>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2356139" cy="82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20</xdr:col>
      <xdr:colOff>409575</xdr:colOff>
      <xdr:row>0</xdr:row>
      <xdr:rowOff>0</xdr:rowOff>
    </xdr:from>
    <xdr:to>
      <xdr:col>24</xdr:col>
      <xdr:colOff>457200</xdr:colOff>
      <xdr:row>4</xdr:row>
      <xdr:rowOff>86114</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2601575" y="0"/>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47625</xdr:colOff>
      <xdr:row>14</xdr:row>
      <xdr:rowOff>9525</xdr:rowOff>
    </xdr:from>
    <xdr:to>
      <xdr:col>1</xdr:col>
      <xdr:colOff>266700</xdr:colOff>
      <xdr:row>14</xdr:row>
      <xdr:rowOff>9525</xdr:rowOff>
    </xdr:to>
    <xdr:sp macro="" textlink="">
      <xdr:nvSpPr>
        <xdr:cNvPr id="4" name="Round Diagonal Corner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MAR</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5" name="Round Diagonal Corner 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APR</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6" name="Round Diagonal Corner Rectangle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MAY</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7" name="Round Diagonal Corner Rectangle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JUN</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8" name="Round Diagonal Corner Rectangle 7">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JUL</a:t>
          </a:r>
        </a:p>
      </xdr:txBody>
    </xdr:sp>
    <xdr:clientData/>
  </xdr:twoCellAnchor>
  <xdr:twoCellAnchor>
    <xdr:from>
      <xdr:col>4</xdr:col>
      <xdr:colOff>542924</xdr:colOff>
      <xdr:row>9</xdr:row>
      <xdr:rowOff>66675</xdr:rowOff>
    </xdr:from>
    <xdr:to>
      <xdr:col>7</xdr:col>
      <xdr:colOff>238125</xdr:colOff>
      <xdr:row>11</xdr:row>
      <xdr:rowOff>85725</xdr:rowOff>
    </xdr:to>
    <xdr:sp macro="" textlink="">
      <xdr:nvSpPr>
        <xdr:cNvPr id="25" name="Round Diagonal Corner Rectangle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2981324" y="1743075"/>
          <a:ext cx="1524001" cy="381000"/>
        </a:xfrm>
        <a:prstGeom prst="round2Diag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91440" rtlCol="0" anchor="t"/>
        <a:lstStyle/>
        <a:p>
          <a:pPr algn="l"/>
          <a:r>
            <a:rPr lang="en-ZA" sz="1000" b="1">
              <a:latin typeface="Century Gothic" panose="020B0502020202020204" pitchFamily="34" charset="0"/>
            </a:rPr>
            <a:t>Financial</a:t>
          </a:r>
          <a:r>
            <a:rPr lang="en-ZA" sz="1000" b="1" baseline="0">
              <a:latin typeface="Century Gothic" panose="020B0502020202020204" pitchFamily="34" charset="0"/>
            </a:rPr>
            <a:t> Scorecard</a:t>
          </a:r>
          <a:endParaRPr lang="en-ZA" sz="1000" b="1">
            <a:latin typeface="Century Gothic" panose="020B0502020202020204" pitchFamily="34" charset="0"/>
          </a:endParaRPr>
        </a:p>
      </xdr:txBody>
    </xdr:sp>
    <xdr:clientData/>
  </xdr:twoCellAnchor>
  <xdr:twoCellAnchor>
    <xdr:from>
      <xdr:col>10</xdr:col>
      <xdr:colOff>19050</xdr:colOff>
      <xdr:row>9</xdr:row>
      <xdr:rowOff>85725</xdr:rowOff>
    </xdr:from>
    <xdr:to>
      <xdr:col>12</xdr:col>
      <xdr:colOff>114300</xdr:colOff>
      <xdr:row>11</xdr:row>
      <xdr:rowOff>104775</xdr:rowOff>
    </xdr:to>
    <xdr:sp macro="" textlink="">
      <xdr:nvSpPr>
        <xdr:cNvPr id="26" name="Round Diagonal Corner Rectangle 25">
          <a:hlinkClick xmlns:r="http://schemas.openxmlformats.org/officeDocument/2006/relationships" r:id="rId9"/>
          <a:extLst>
            <a:ext uri="{FF2B5EF4-FFF2-40B4-BE49-F238E27FC236}">
              <a16:creationId xmlns:a16="http://schemas.microsoft.com/office/drawing/2014/main" id="{00000000-0008-0000-0000-00001A000000}"/>
            </a:ext>
          </a:extLst>
        </xdr:cNvPr>
        <xdr:cNvSpPr/>
      </xdr:nvSpPr>
      <xdr:spPr>
        <a:xfrm>
          <a:off x="6115050" y="1762125"/>
          <a:ext cx="1314450" cy="381000"/>
        </a:xfrm>
        <a:prstGeom prst="round2Diag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91440" rtlCol="0" anchor="ctr"/>
        <a:lstStyle/>
        <a:p>
          <a:pPr algn="ctr"/>
          <a:r>
            <a:rPr lang="en-ZA" sz="1000" b="1">
              <a:latin typeface="Century Gothic" panose="020B0502020202020204" pitchFamily="34" charset="0"/>
            </a:rPr>
            <a:t>Savings</a:t>
          </a:r>
        </a:p>
      </xdr:txBody>
    </xdr:sp>
    <xdr:clientData/>
  </xdr:twoCellAnchor>
  <xdr:twoCellAnchor>
    <xdr:from>
      <xdr:col>0</xdr:col>
      <xdr:colOff>247650</xdr:colOff>
      <xdr:row>9</xdr:row>
      <xdr:rowOff>76200</xdr:rowOff>
    </xdr:from>
    <xdr:to>
      <xdr:col>2</xdr:col>
      <xdr:colOff>552451</xdr:colOff>
      <xdr:row>11</xdr:row>
      <xdr:rowOff>95250</xdr:rowOff>
    </xdr:to>
    <xdr:sp macro="" textlink="">
      <xdr:nvSpPr>
        <xdr:cNvPr id="27" name="Round Diagonal Corner 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247650" y="1752600"/>
          <a:ext cx="1524001" cy="381000"/>
        </a:xfrm>
        <a:prstGeom prst="round2Diag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91440" rtlCol="0" anchor="t"/>
        <a:lstStyle/>
        <a:p>
          <a:pPr algn="l"/>
          <a:r>
            <a:rPr lang="en-ZA" sz="1000" b="1">
              <a:latin typeface="Century Gothic" panose="020B0502020202020204" pitchFamily="34" charset="0"/>
            </a:rPr>
            <a:t>Monthly</a:t>
          </a:r>
          <a:r>
            <a:rPr lang="en-ZA" sz="1000" b="1" baseline="0">
              <a:latin typeface="Century Gothic" panose="020B0502020202020204" pitchFamily="34" charset="0"/>
            </a:rPr>
            <a:t> Budget</a:t>
          </a:r>
          <a:endParaRPr lang="en-ZA" sz="1000" b="1">
            <a:latin typeface="Century Gothic" panose="020B0502020202020204" pitchFamily="34" charset="0"/>
          </a:endParaRPr>
        </a:p>
      </xdr:txBody>
    </xdr:sp>
    <xdr:clientData/>
  </xdr:twoCellAnchor>
  <xdr:twoCellAnchor>
    <xdr:from>
      <xdr:col>15</xdr:col>
      <xdr:colOff>257175</xdr:colOff>
      <xdr:row>9</xdr:row>
      <xdr:rowOff>95250</xdr:rowOff>
    </xdr:from>
    <xdr:to>
      <xdr:col>17</xdr:col>
      <xdr:colOff>352425</xdr:colOff>
      <xdr:row>11</xdr:row>
      <xdr:rowOff>114300</xdr:rowOff>
    </xdr:to>
    <xdr:sp macro="" textlink="">
      <xdr:nvSpPr>
        <xdr:cNvPr id="28" name="Round Diagonal Corner 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9401175" y="1771650"/>
          <a:ext cx="1314450" cy="381000"/>
        </a:xfrm>
        <a:prstGeom prst="round2Diag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91440" rtlCol="0" anchor="ctr"/>
        <a:lstStyle/>
        <a:p>
          <a:pPr algn="ctr"/>
          <a:r>
            <a:rPr lang="en-ZA" sz="1000" b="1">
              <a:latin typeface="Century Gothic" panose="020B0502020202020204" pitchFamily="34" charset="0"/>
            </a:rPr>
            <a:t>Interest Calc</a:t>
          </a:r>
        </a:p>
      </xdr:txBody>
    </xdr:sp>
    <xdr:clientData/>
  </xdr:twoCellAnchor>
  <xdr:twoCellAnchor>
    <xdr:from>
      <xdr:col>19</xdr:col>
      <xdr:colOff>514350</xdr:colOff>
      <xdr:row>9</xdr:row>
      <xdr:rowOff>85725</xdr:rowOff>
    </xdr:from>
    <xdr:to>
      <xdr:col>22</xdr:col>
      <xdr:colOff>0</xdr:colOff>
      <xdr:row>11</xdr:row>
      <xdr:rowOff>104775</xdr:rowOff>
    </xdr:to>
    <xdr:sp macro="" textlink="">
      <xdr:nvSpPr>
        <xdr:cNvPr id="29" name="Round Diagonal Corner Rectangle 28">
          <a:hlinkClick xmlns:r="http://schemas.openxmlformats.org/officeDocument/2006/relationships" r:id="rId12"/>
          <a:extLst>
            <a:ext uri="{FF2B5EF4-FFF2-40B4-BE49-F238E27FC236}">
              <a16:creationId xmlns:a16="http://schemas.microsoft.com/office/drawing/2014/main" id="{00000000-0008-0000-0000-00001D000000}"/>
            </a:ext>
          </a:extLst>
        </xdr:cNvPr>
        <xdr:cNvSpPr/>
      </xdr:nvSpPr>
      <xdr:spPr>
        <a:xfrm>
          <a:off x="12096750" y="1762125"/>
          <a:ext cx="1314450" cy="381000"/>
        </a:xfrm>
        <a:prstGeom prst="round2Diag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91440" rtlCol="0" anchor="ctr"/>
        <a:lstStyle/>
        <a:p>
          <a:pPr algn="ctr"/>
          <a:r>
            <a:rPr lang="en-ZA" sz="1000" b="1">
              <a:solidFill>
                <a:sysClr val="windowText" lastClr="000000"/>
              </a:solidFill>
              <a:latin typeface="Century Gothic" panose="020B0502020202020204" pitchFamily="34" charset="0"/>
            </a:rPr>
            <a:t>Help</a:t>
          </a:r>
        </a:p>
      </xdr:txBody>
    </xdr:sp>
    <xdr:clientData/>
  </xdr:twoCellAnchor>
  <xdr:oneCellAnchor>
    <xdr:from>
      <xdr:col>0</xdr:col>
      <xdr:colOff>57150</xdr:colOff>
      <xdr:row>13</xdr:row>
      <xdr:rowOff>66675</xdr:rowOff>
    </xdr:from>
    <xdr:ext cx="1367297" cy="257443"/>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57150" y="2476500"/>
          <a:ext cx="1367297"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ysClr val="windowText" lastClr="000000"/>
              </a:solidFill>
              <a:latin typeface="Century Gothic" panose="020B0502020202020204" pitchFamily="34" charset="0"/>
            </a:rPr>
            <a:t>1. Monthly Budget</a:t>
          </a:r>
        </a:p>
      </xdr:txBody>
    </xdr:sp>
    <xdr:clientData/>
  </xdr:oneCellAnchor>
  <xdr:twoCellAnchor editAs="oneCell">
    <xdr:from>
      <xdr:col>0</xdr:col>
      <xdr:colOff>123825</xdr:colOff>
      <xdr:row>15</xdr:row>
      <xdr:rowOff>28575</xdr:rowOff>
    </xdr:from>
    <xdr:to>
      <xdr:col>10</xdr:col>
      <xdr:colOff>162377</xdr:colOff>
      <xdr:row>29</xdr:row>
      <xdr:rowOff>647700</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13"/>
        <a:srcRect l="1442" t="20372" r="19312" b="7223"/>
        <a:stretch/>
      </xdr:blipFill>
      <xdr:spPr>
        <a:xfrm>
          <a:off x="123825" y="2800350"/>
          <a:ext cx="6134552" cy="3152775"/>
        </a:xfrm>
        <a:prstGeom prst="rect">
          <a:avLst/>
        </a:prstGeom>
      </xdr:spPr>
    </xdr:pic>
    <xdr:clientData/>
  </xdr:twoCellAnchor>
  <xdr:twoCellAnchor>
    <xdr:from>
      <xdr:col>0</xdr:col>
      <xdr:colOff>123825</xdr:colOff>
      <xdr:row>29</xdr:row>
      <xdr:rowOff>752475</xdr:rowOff>
    </xdr:from>
    <xdr:to>
      <xdr:col>10</xdr:col>
      <xdr:colOff>114300</xdr:colOff>
      <xdr:row>30</xdr:row>
      <xdr:rowOff>1123950</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23825" y="6057900"/>
          <a:ext cx="6086475"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900">
              <a:solidFill>
                <a:sysClr val="windowText" lastClr="000000"/>
              </a:solidFill>
              <a:latin typeface="Century Gothic" panose="020B0502020202020204" pitchFamily="34" charset="0"/>
            </a:rPr>
            <a:t>This worksheet allows you to  do a monthly budget over a twelve-month</a:t>
          </a:r>
          <a:r>
            <a:rPr lang="en-ZA" sz="900" baseline="0">
              <a:solidFill>
                <a:sysClr val="windowText" lastClr="000000"/>
              </a:solidFill>
              <a:latin typeface="Century Gothic" panose="020B0502020202020204" pitchFamily="34" charset="0"/>
            </a:rPr>
            <a:t> cycle (January - December.</a:t>
          </a:r>
        </a:p>
        <a:p>
          <a:endParaRPr lang="en-ZA" sz="900" baseline="0">
            <a:solidFill>
              <a:sysClr val="windowText" lastClr="000000"/>
            </a:solidFill>
            <a:latin typeface="Century Gothic" panose="020B0502020202020204" pitchFamily="34" charset="0"/>
          </a:endParaRPr>
        </a:p>
        <a:p>
          <a:r>
            <a:rPr lang="en-ZA" sz="900" baseline="0">
              <a:solidFill>
                <a:sysClr val="windowText" lastClr="000000"/>
              </a:solidFill>
              <a:latin typeface="Century Gothic" panose="020B0502020202020204" pitchFamily="34" charset="0"/>
            </a:rPr>
            <a:t>Create  a quick and easy monthly budget  by selecting  the  month and filling  in the  cells provided on the </a:t>
          </a:r>
          <a:r>
            <a:rPr lang="en-ZA" sz="900" baseline="0">
              <a:solidFill>
                <a:schemeClr val="bg1"/>
              </a:solidFill>
              <a:latin typeface="Century Gothic" panose="020B0502020202020204" pitchFamily="34" charset="0"/>
            </a:rPr>
            <a:t> "</a:t>
          </a:r>
          <a:r>
            <a:rPr lang="en-ZA" sz="900" baseline="0">
              <a:solidFill>
                <a:schemeClr val="accent6">
                  <a:lumMod val="75000"/>
                </a:schemeClr>
              </a:solidFill>
              <a:latin typeface="Century Gothic" panose="020B0502020202020204" pitchFamily="34" charset="0"/>
            </a:rPr>
            <a:t>Monthly Budget</a:t>
          </a:r>
          <a:r>
            <a:rPr lang="en-ZA" sz="900" baseline="0">
              <a:solidFill>
                <a:sysClr val="windowText" lastClr="000000"/>
              </a:solidFill>
              <a:latin typeface="Century Gothic" panose="020B0502020202020204" pitchFamily="34" charset="0"/>
            </a:rPr>
            <a:t>" worksheet.</a:t>
          </a:r>
        </a:p>
        <a:p>
          <a:endParaRPr lang="en-ZA" sz="900" baseline="0">
            <a:solidFill>
              <a:sysClr val="windowText" lastClr="000000"/>
            </a:solidFill>
            <a:latin typeface="Century Gothic" panose="020B0502020202020204" pitchFamily="34" charset="0"/>
          </a:endParaRPr>
        </a:p>
        <a:p>
          <a:r>
            <a:rPr lang="en-ZA" sz="900" baseline="0">
              <a:solidFill>
                <a:sysClr val="windowText" lastClr="000000"/>
              </a:solidFill>
              <a:latin typeface="Century Gothic" panose="020B0502020202020204" pitchFamily="34" charset="0"/>
            </a:rPr>
            <a:t>For more information on how to use the Budgeting Worksheet, click  on the "</a:t>
          </a:r>
          <a:r>
            <a:rPr lang="en-ZA" sz="900" baseline="0">
              <a:solidFill>
                <a:schemeClr val="accent6">
                  <a:lumMod val="75000"/>
                </a:schemeClr>
              </a:solidFill>
              <a:latin typeface="Century Gothic" panose="020B0502020202020204" pitchFamily="34" charset="0"/>
            </a:rPr>
            <a:t>Help</a:t>
          </a:r>
          <a:r>
            <a:rPr lang="en-ZA" sz="900" baseline="0">
              <a:solidFill>
                <a:sysClr val="windowText" lastClr="000000"/>
              </a:solidFill>
              <a:latin typeface="Century Gothic" panose="020B0502020202020204" pitchFamily="34" charset="0"/>
            </a:rPr>
            <a:t>" button.</a:t>
          </a:r>
          <a:endParaRPr lang="en-ZA" sz="900">
            <a:solidFill>
              <a:sysClr val="windowText" lastClr="000000"/>
            </a:solidFill>
            <a:latin typeface="Century Gothic" panose="020B0502020202020204" pitchFamily="34" charset="0"/>
          </a:endParaRPr>
        </a:p>
      </xdr:txBody>
    </xdr:sp>
    <xdr:clientData/>
  </xdr:twoCellAnchor>
  <xdr:twoCellAnchor>
    <xdr:from>
      <xdr:col>10</xdr:col>
      <xdr:colOff>266700</xdr:colOff>
      <xdr:row>19</xdr:row>
      <xdr:rowOff>66675</xdr:rowOff>
    </xdr:from>
    <xdr:to>
      <xdr:col>11</xdr:col>
      <xdr:colOff>190500</xdr:colOff>
      <xdr:row>20</xdr:row>
      <xdr:rowOff>149907</xdr:rowOff>
    </xdr:to>
    <xdr:sp macro="" textlink="">
      <xdr:nvSpPr>
        <xdr:cNvPr id="33" name="Right Arrow 32">
          <a:extLst>
            <a:ext uri="{FF2B5EF4-FFF2-40B4-BE49-F238E27FC236}">
              <a16:creationId xmlns:a16="http://schemas.microsoft.com/office/drawing/2014/main" id="{00000000-0008-0000-0000-000021000000}"/>
            </a:ext>
          </a:extLst>
        </xdr:cNvPr>
        <xdr:cNvSpPr/>
      </xdr:nvSpPr>
      <xdr:spPr>
        <a:xfrm>
          <a:off x="6362700" y="356235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11</xdr:col>
      <xdr:colOff>314325</xdr:colOff>
      <xdr:row>16</xdr:row>
      <xdr:rowOff>66675</xdr:rowOff>
    </xdr:from>
    <xdr:to>
      <xdr:col>21</xdr:col>
      <xdr:colOff>552451</xdr:colOff>
      <xdr:row>29</xdr:row>
      <xdr:rowOff>409575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4"/>
        <a:srcRect l="1874" t="19648" r="1420" b="7188"/>
        <a:stretch/>
      </xdr:blipFill>
      <xdr:spPr>
        <a:xfrm>
          <a:off x="7019925" y="3019425"/>
          <a:ext cx="6334126" cy="2695575"/>
        </a:xfrm>
        <a:prstGeom prst="rect">
          <a:avLst/>
        </a:prstGeom>
      </xdr:spPr>
    </xdr:pic>
    <xdr:clientData/>
  </xdr:twoCellAnchor>
  <xdr:twoCellAnchor>
    <xdr:from>
      <xdr:col>10</xdr:col>
      <xdr:colOff>285750</xdr:colOff>
      <xdr:row>22</xdr:row>
      <xdr:rowOff>95250</xdr:rowOff>
    </xdr:from>
    <xdr:to>
      <xdr:col>11</xdr:col>
      <xdr:colOff>209550</xdr:colOff>
      <xdr:row>23</xdr:row>
      <xdr:rowOff>178482</xdr:rowOff>
    </xdr:to>
    <xdr:sp macro="" textlink="">
      <xdr:nvSpPr>
        <xdr:cNvPr id="35" name="Right Arrow 34">
          <a:extLst>
            <a:ext uri="{FF2B5EF4-FFF2-40B4-BE49-F238E27FC236}">
              <a16:creationId xmlns:a16="http://schemas.microsoft.com/office/drawing/2014/main" id="{00000000-0008-0000-0000-000023000000}"/>
            </a:ext>
          </a:extLst>
        </xdr:cNvPr>
        <xdr:cNvSpPr/>
      </xdr:nvSpPr>
      <xdr:spPr>
        <a:xfrm>
          <a:off x="6381750" y="413385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clientData/>
  </xdr:twoCellAnchor>
  <xdr:oneCellAnchor>
    <xdr:from>
      <xdr:col>11</xdr:col>
      <xdr:colOff>132885</xdr:colOff>
      <xdr:row>13</xdr:row>
      <xdr:rowOff>152400</xdr:rowOff>
    </xdr:from>
    <xdr:ext cx="1634935" cy="257443"/>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838485" y="2562225"/>
          <a:ext cx="163493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ysClr val="windowText" lastClr="000000"/>
              </a:solidFill>
              <a:latin typeface="Century Gothic" panose="020B0502020202020204" pitchFamily="34" charset="0"/>
            </a:rPr>
            <a:t>2. Financial</a:t>
          </a:r>
          <a:r>
            <a:rPr lang="en-ZA" sz="1050" b="0" baseline="0">
              <a:solidFill>
                <a:sysClr val="windowText" lastClr="000000"/>
              </a:solidFill>
              <a:latin typeface="Century Gothic" panose="020B0502020202020204" pitchFamily="34" charset="0"/>
            </a:rPr>
            <a:t> Scorecard</a:t>
          </a:r>
          <a:endParaRPr lang="en-ZA" sz="1050" b="0">
            <a:solidFill>
              <a:sysClr val="windowText" lastClr="000000"/>
            </a:solidFill>
            <a:latin typeface="Century Gothic" panose="020B0502020202020204" pitchFamily="34" charset="0"/>
          </a:endParaRPr>
        </a:p>
      </xdr:txBody>
    </xdr:sp>
    <xdr:clientData/>
  </xdr:oneCellAnchor>
  <xdr:twoCellAnchor>
    <xdr:from>
      <xdr:col>11</xdr:col>
      <xdr:colOff>438150</xdr:colOff>
      <xdr:row>29</xdr:row>
      <xdr:rowOff>438150</xdr:rowOff>
    </xdr:from>
    <xdr:to>
      <xdr:col>21</xdr:col>
      <xdr:colOff>495300</xdr:colOff>
      <xdr:row>30</xdr:row>
      <xdr:rowOff>466725</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7143750" y="5743575"/>
          <a:ext cx="6153150"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900">
              <a:solidFill>
                <a:sysClr val="windowText" lastClr="000000"/>
              </a:solidFill>
              <a:latin typeface="Century Gothic" panose="020B0502020202020204" pitchFamily="34" charset="0"/>
            </a:rPr>
            <a:t>This worksheet</a:t>
          </a:r>
          <a:r>
            <a:rPr lang="en-ZA" sz="900" baseline="0">
              <a:solidFill>
                <a:sysClr val="windowText" lastClr="000000"/>
              </a:solidFill>
              <a:latin typeface="Century Gothic" panose="020B0502020202020204" pitchFamily="34" charset="0"/>
            </a:rPr>
            <a:t> allows you to track your debt on a monthly basis. </a:t>
          </a:r>
          <a:r>
            <a:rPr lang="en-ZA" sz="900" b="1" baseline="0">
              <a:solidFill>
                <a:sysClr val="windowText" lastClr="000000"/>
              </a:solidFill>
              <a:latin typeface="Century Gothic" panose="020B0502020202020204" pitchFamily="34" charset="0"/>
            </a:rPr>
            <a:t>Complete this scorecard  every month to check how much you owe</a:t>
          </a:r>
          <a:r>
            <a:rPr lang="en-ZA" sz="900" baseline="0">
              <a:solidFill>
                <a:sysClr val="windowText" lastClr="000000"/>
              </a:solidFill>
              <a:latin typeface="Century Gothic" panose="020B0502020202020204" pitchFamily="34" charset="0"/>
            </a:rPr>
            <a:t>. Fill  how much you owe to each person or institutions. REMEMBER: you want your score to GO DOWN each month.</a:t>
          </a:r>
        </a:p>
        <a:p>
          <a:endParaRPr lang="en-ZA" sz="900" baseline="0">
            <a:solidFill>
              <a:sysClr val="windowText" lastClr="000000"/>
            </a:solidFill>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For more information on how to use the </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a:t>
          </a:r>
          <a:r>
            <a:rPr kumimoji="0" lang="en-ZA" sz="900" b="0" i="0" u="none" strike="noStrike" kern="0" cap="none" spc="0" normalizeH="0" baseline="0" noProof="0">
              <a:ln>
                <a:noFill/>
              </a:ln>
              <a:solidFill>
                <a:schemeClr val="accent6">
                  <a:lumMod val="75000"/>
                </a:schemeClr>
              </a:solidFill>
              <a:effectLst/>
              <a:uLnTx/>
              <a:uFillTx/>
              <a:latin typeface="Century Gothic" panose="020B0502020202020204" pitchFamily="34" charset="0"/>
              <a:ea typeface="+mn-ea"/>
              <a:cs typeface="+mn-cs"/>
            </a:rPr>
            <a:t>Financial Scorecard Worksheet</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 </a:t>
          </a: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click  on the </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a:t>
          </a:r>
          <a:r>
            <a:rPr kumimoji="0" lang="en-ZA" sz="900" b="0" i="0" u="none" strike="noStrike" kern="0" cap="none" spc="0" normalizeH="0" baseline="0" noProof="0">
              <a:ln>
                <a:noFill/>
              </a:ln>
              <a:solidFill>
                <a:srgbClr val="F79646">
                  <a:lumMod val="75000"/>
                </a:srgbClr>
              </a:solidFill>
              <a:effectLst/>
              <a:uLnTx/>
              <a:uFillTx/>
              <a:latin typeface="Century Gothic" panose="020B0502020202020204" pitchFamily="34" charset="0"/>
              <a:ea typeface="+mn-ea"/>
              <a:cs typeface="+mn-cs"/>
            </a:rPr>
            <a:t>Help</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 </a:t>
          </a: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button.</a:t>
          </a:r>
        </a:p>
        <a:p>
          <a:endParaRPr lang="en-ZA" sz="900">
            <a:solidFill>
              <a:schemeClr val="bg1"/>
            </a:solidFill>
            <a:latin typeface="Century Gothic" panose="020B0502020202020204" pitchFamily="34" charset="0"/>
          </a:endParaRPr>
        </a:p>
      </xdr:txBody>
    </xdr:sp>
    <xdr:clientData/>
  </xdr:twoCellAnchor>
  <xdr:twoCellAnchor>
    <xdr:from>
      <xdr:col>16</xdr:col>
      <xdr:colOff>134596</xdr:colOff>
      <xdr:row>30</xdr:row>
      <xdr:rowOff>828675</xdr:rowOff>
    </xdr:from>
    <xdr:to>
      <xdr:col>17</xdr:col>
      <xdr:colOff>360703</xdr:colOff>
      <xdr:row>31</xdr:row>
      <xdr:rowOff>274980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rot="5400000">
          <a:off x="10082835" y="6758611"/>
          <a:ext cx="446430" cy="835707"/>
          <a:chOff x="8772525" y="7353300"/>
          <a:chExt cx="552450" cy="835707"/>
        </a:xfrm>
      </xdr:grpSpPr>
      <xdr:sp macro="" textlink="">
        <xdr:nvSpPr>
          <xdr:cNvPr id="38" name="Right Arrow 37">
            <a:extLst>
              <a:ext uri="{FF2B5EF4-FFF2-40B4-BE49-F238E27FC236}">
                <a16:creationId xmlns:a16="http://schemas.microsoft.com/office/drawing/2014/main" id="{00000000-0008-0000-0000-000026000000}"/>
              </a:ext>
            </a:extLst>
          </xdr:cNvPr>
          <xdr:cNvSpPr/>
        </xdr:nvSpPr>
        <xdr:spPr>
          <a:xfrm>
            <a:off x="8772525" y="735330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sp macro="" textlink="">
        <xdr:nvSpPr>
          <xdr:cNvPr id="39" name="Right Arrow 38">
            <a:extLst>
              <a:ext uri="{FF2B5EF4-FFF2-40B4-BE49-F238E27FC236}">
                <a16:creationId xmlns:a16="http://schemas.microsoft.com/office/drawing/2014/main" id="{00000000-0008-0000-0000-000027000000}"/>
              </a:ext>
            </a:extLst>
          </xdr:cNvPr>
          <xdr:cNvSpPr/>
        </xdr:nvSpPr>
        <xdr:spPr>
          <a:xfrm>
            <a:off x="8791575" y="792480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grpSp>
    <xdr:clientData/>
  </xdr:twoCellAnchor>
  <xdr:oneCellAnchor>
    <xdr:from>
      <xdr:col>11</xdr:col>
      <xdr:colOff>267916</xdr:colOff>
      <xdr:row>31</xdr:row>
      <xdr:rowOff>485775</xdr:rowOff>
    </xdr:from>
    <xdr:ext cx="3574697" cy="257443"/>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973516" y="7610475"/>
          <a:ext cx="3574697"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ysClr val="windowText" lastClr="000000"/>
              </a:solidFill>
              <a:latin typeface="Century Gothic" panose="020B0502020202020204" pitchFamily="34" charset="0"/>
            </a:rPr>
            <a:t>3. Savings Towards Goals &amp; Savings and Investments</a:t>
          </a:r>
        </a:p>
      </xdr:txBody>
    </xdr:sp>
    <xdr:clientData/>
  </xdr:oneCellAnchor>
  <xdr:twoCellAnchor editAs="oneCell">
    <xdr:from>
      <xdr:col>11</xdr:col>
      <xdr:colOff>409575</xdr:colOff>
      <xdr:row>31</xdr:row>
      <xdr:rowOff>933450</xdr:rowOff>
    </xdr:from>
    <xdr:to>
      <xdr:col>22</xdr:col>
      <xdr:colOff>438150</xdr:colOff>
      <xdr:row>46</xdr:row>
      <xdr:rowOff>104905</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5"/>
        <a:srcRect l="1406" t="20562" r="7153" b="7466"/>
        <a:stretch/>
      </xdr:blipFill>
      <xdr:spPr>
        <a:xfrm>
          <a:off x="7115175" y="8239125"/>
          <a:ext cx="6734175" cy="2981455"/>
        </a:xfrm>
        <a:prstGeom prst="rect">
          <a:avLst/>
        </a:prstGeom>
      </xdr:spPr>
    </xdr:pic>
    <xdr:clientData/>
  </xdr:twoCellAnchor>
  <xdr:twoCellAnchor>
    <xdr:from>
      <xdr:col>11</xdr:col>
      <xdr:colOff>590550</xdr:colOff>
      <xdr:row>46</xdr:row>
      <xdr:rowOff>171450</xdr:rowOff>
    </xdr:from>
    <xdr:to>
      <xdr:col>22</xdr:col>
      <xdr:colOff>333375</xdr:colOff>
      <xdr:row>50</xdr:row>
      <xdr:rowOff>85725</xdr:rowOff>
    </xdr:to>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7296150" y="10896600"/>
          <a:ext cx="6448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900">
              <a:solidFill>
                <a:sysClr val="windowText" lastClr="000000"/>
              </a:solidFill>
              <a:latin typeface="Century Gothic" panose="020B0502020202020204" pitchFamily="34" charset="0"/>
            </a:rPr>
            <a:t>Allocate your money</a:t>
          </a:r>
          <a:r>
            <a:rPr lang="en-ZA" sz="900" baseline="0">
              <a:solidFill>
                <a:sysClr val="windowText" lastClr="000000"/>
              </a:solidFill>
              <a:latin typeface="Century Gothic" panose="020B0502020202020204" pitchFamily="34" charset="0"/>
            </a:rPr>
            <a:t> toward financial goals and other forms of savings for the year on this  worksheet.</a:t>
          </a:r>
        </a:p>
        <a:p>
          <a:endParaRPr lang="en-ZA" sz="900" baseline="0">
            <a:solidFill>
              <a:sysClr val="windowText" lastClr="000000"/>
            </a:solidFill>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For more information on how to use the "</a:t>
          </a:r>
          <a:r>
            <a:rPr kumimoji="0" lang="en-ZA" sz="900" b="0" i="0" u="none" strike="noStrike" kern="0" cap="none" spc="0" normalizeH="0" baseline="0" noProof="0">
              <a:ln>
                <a:noFill/>
              </a:ln>
              <a:solidFill>
                <a:schemeClr val="accent6">
                  <a:lumMod val="75000"/>
                </a:schemeClr>
              </a:solidFill>
              <a:effectLst/>
              <a:uLnTx/>
              <a:uFillTx/>
              <a:latin typeface="Century Gothic" panose="020B0502020202020204" pitchFamily="34" charset="0"/>
              <a:ea typeface="+mn-ea"/>
              <a:cs typeface="+mn-cs"/>
            </a:rPr>
            <a:t>Savings  Worksheet</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 </a:t>
          </a: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click  on the "</a:t>
          </a:r>
          <a:r>
            <a:rPr kumimoji="0" lang="en-ZA" sz="900" b="0" i="0" u="none" strike="noStrike" kern="0" cap="none" spc="0" normalizeH="0" baseline="0" noProof="0">
              <a:ln>
                <a:noFill/>
              </a:ln>
              <a:solidFill>
                <a:srgbClr val="F79646">
                  <a:lumMod val="75000"/>
                </a:srgbClr>
              </a:solidFill>
              <a:effectLst/>
              <a:uLnTx/>
              <a:uFillTx/>
              <a:latin typeface="Century Gothic" panose="020B0502020202020204" pitchFamily="34" charset="0"/>
              <a:ea typeface="+mn-ea"/>
              <a:cs typeface="+mn-cs"/>
            </a:rPr>
            <a:t>Help</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 button.</a:t>
          </a:r>
        </a:p>
        <a:p>
          <a:endParaRPr lang="en-ZA" sz="900">
            <a:solidFill>
              <a:schemeClr val="bg1"/>
            </a:solidFill>
            <a:latin typeface="Century Gothic" panose="020B0502020202020204" pitchFamily="34" charset="0"/>
          </a:endParaRPr>
        </a:p>
      </xdr:txBody>
    </xdr:sp>
    <xdr:clientData/>
  </xdr:twoCellAnchor>
  <xdr:twoCellAnchor>
    <xdr:from>
      <xdr:col>10</xdr:col>
      <xdr:colOff>319710</xdr:colOff>
      <xdr:row>35</xdr:row>
      <xdr:rowOff>53011</xdr:rowOff>
    </xdr:from>
    <xdr:to>
      <xdr:col>11</xdr:col>
      <xdr:colOff>156540</xdr:colOff>
      <xdr:row>39</xdr:row>
      <xdr:rowOff>164818</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rot="10800000">
          <a:off x="6415710" y="8787436"/>
          <a:ext cx="446430" cy="835707"/>
          <a:chOff x="8772525" y="7353300"/>
          <a:chExt cx="552450" cy="835707"/>
        </a:xfrm>
      </xdr:grpSpPr>
      <xdr:sp macro="" textlink="">
        <xdr:nvSpPr>
          <xdr:cNvPr id="45" name="Right Arrow 44">
            <a:extLst>
              <a:ext uri="{FF2B5EF4-FFF2-40B4-BE49-F238E27FC236}">
                <a16:creationId xmlns:a16="http://schemas.microsoft.com/office/drawing/2014/main" id="{00000000-0008-0000-0000-00002D000000}"/>
              </a:ext>
            </a:extLst>
          </xdr:cNvPr>
          <xdr:cNvSpPr/>
        </xdr:nvSpPr>
        <xdr:spPr>
          <a:xfrm>
            <a:off x="8772525" y="735330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sp macro="" textlink="">
        <xdr:nvSpPr>
          <xdr:cNvPr id="46" name="Right Arrow 45">
            <a:extLst>
              <a:ext uri="{FF2B5EF4-FFF2-40B4-BE49-F238E27FC236}">
                <a16:creationId xmlns:a16="http://schemas.microsoft.com/office/drawing/2014/main" id="{00000000-0008-0000-0000-00002E000000}"/>
              </a:ext>
            </a:extLst>
          </xdr:cNvPr>
          <xdr:cNvSpPr/>
        </xdr:nvSpPr>
        <xdr:spPr>
          <a:xfrm>
            <a:off x="8791575" y="7924800"/>
            <a:ext cx="533400" cy="264207"/>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en-ZA" sz="1100"/>
          </a:p>
        </xdr:txBody>
      </xdr:sp>
    </xdr:grpSp>
    <xdr:clientData/>
  </xdr:twoCellAnchor>
  <xdr:twoCellAnchor editAs="oneCell">
    <xdr:from>
      <xdr:col>0</xdr:col>
      <xdr:colOff>247649</xdr:colOff>
      <xdr:row>32</xdr:row>
      <xdr:rowOff>104774</xdr:rowOff>
    </xdr:from>
    <xdr:to>
      <xdr:col>9</xdr:col>
      <xdr:colOff>581024</xdr:colOff>
      <xdr:row>44</xdr:row>
      <xdr:rowOff>133349</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16"/>
        <a:srcRect l="2573" t="20935" r="4957" b="7229"/>
        <a:stretch/>
      </xdr:blipFill>
      <xdr:spPr>
        <a:xfrm>
          <a:off x="247649" y="7953374"/>
          <a:ext cx="5819775" cy="2543175"/>
        </a:xfrm>
        <a:prstGeom prst="rect">
          <a:avLst/>
        </a:prstGeom>
      </xdr:spPr>
    </xdr:pic>
    <xdr:clientData/>
  </xdr:twoCellAnchor>
  <xdr:oneCellAnchor>
    <xdr:from>
      <xdr:col>0</xdr:col>
      <xdr:colOff>262267</xdr:colOff>
      <xdr:row>31</xdr:row>
      <xdr:rowOff>504825</xdr:rowOff>
    </xdr:from>
    <xdr:ext cx="1585755" cy="257443"/>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262267" y="7629525"/>
          <a:ext cx="158575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ysClr val="windowText" lastClr="000000"/>
              </a:solidFill>
              <a:latin typeface="Century Gothic" panose="020B0502020202020204" pitchFamily="34" charset="0"/>
            </a:rPr>
            <a:t>4. Interest</a:t>
          </a:r>
          <a:r>
            <a:rPr lang="en-ZA" sz="1050" b="0" baseline="0">
              <a:solidFill>
                <a:sysClr val="windowText" lastClr="000000"/>
              </a:solidFill>
              <a:latin typeface="Century Gothic" panose="020B0502020202020204" pitchFamily="34" charset="0"/>
            </a:rPr>
            <a:t> Calculators</a:t>
          </a:r>
          <a:endParaRPr lang="en-ZA" sz="1050" b="0">
            <a:solidFill>
              <a:sysClr val="windowText" lastClr="000000"/>
            </a:solidFill>
            <a:latin typeface="Century Gothic" panose="020B0502020202020204" pitchFamily="34" charset="0"/>
          </a:endParaRPr>
        </a:p>
      </xdr:txBody>
    </xdr:sp>
    <xdr:clientData/>
  </xdr:oneCellAnchor>
  <xdr:twoCellAnchor>
    <xdr:from>
      <xdr:col>0</xdr:col>
      <xdr:colOff>314325</xdr:colOff>
      <xdr:row>45</xdr:row>
      <xdr:rowOff>38100</xdr:rowOff>
    </xdr:from>
    <xdr:to>
      <xdr:col>9</xdr:col>
      <xdr:colOff>495300</xdr:colOff>
      <xdr:row>49</xdr:row>
      <xdr:rowOff>85725</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314325" y="10582275"/>
          <a:ext cx="56673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900">
              <a:solidFill>
                <a:sysClr val="windowText" lastClr="000000"/>
              </a:solidFill>
              <a:latin typeface="Century Gothic" panose="020B0502020202020204" pitchFamily="34" charset="0"/>
            </a:rPr>
            <a:t>This worksheet</a:t>
          </a:r>
          <a:r>
            <a:rPr lang="en-ZA" sz="900" baseline="0">
              <a:solidFill>
                <a:sysClr val="windowText" lastClr="000000"/>
              </a:solidFill>
              <a:latin typeface="Century Gothic" panose="020B0502020202020204" pitchFamily="34" charset="0"/>
            </a:rPr>
            <a:t> allows you to calculate and compare the interest costs associated with borrowing  money or buying on credit.</a:t>
          </a:r>
        </a:p>
        <a:p>
          <a:endParaRPr lang="en-ZA" sz="900" baseline="0">
            <a:solidFill>
              <a:sysClr val="windowText" lastClr="000000"/>
            </a:solidFill>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For more information on how to use the </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a:t>
          </a:r>
          <a:r>
            <a:rPr kumimoji="0" lang="en-ZA" sz="900" b="0" i="0" u="none" strike="noStrike" kern="0" cap="none" spc="0" normalizeH="0" baseline="0" noProof="0">
              <a:ln>
                <a:noFill/>
              </a:ln>
              <a:solidFill>
                <a:schemeClr val="accent6">
                  <a:lumMod val="75000"/>
                </a:schemeClr>
              </a:solidFill>
              <a:effectLst/>
              <a:uLnTx/>
              <a:uFillTx/>
              <a:latin typeface="Century Gothic" panose="020B0502020202020204" pitchFamily="34" charset="0"/>
              <a:ea typeface="+mn-ea"/>
              <a:cs typeface="+mn-cs"/>
            </a:rPr>
            <a:t>Interest Calculator Worksheet</a:t>
          </a: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click  on the </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a:t>
          </a:r>
          <a:r>
            <a:rPr kumimoji="0" lang="en-ZA" sz="900" b="0" i="0" u="none" strike="noStrike" kern="0" cap="none" spc="0" normalizeH="0" baseline="0" noProof="0">
              <a:ln>
                <a:noFill/>
              </a:ln>
              <a:solidFill>
                <a:srgbClr val="F79646">
                  <a:lumMod val="75000"/>
                </a:srgbClr>
              </a:solidFill>
              <a:effectLst/>
              <a:uLnTx/>
              <a:uFillTx/>
              <a:latin typeface="Century Gothic" panose="020B0502020202020204" pitchFamily="34" charset="0"/>
              <a:ea typeface="+mn-ea"/>
              <a:cs typeface="+mn-cs"/>
            </a:rPr>
            <a:t>Help</a:t>
          </a:r>
          <a:r>
            <a:rPr kumimoji="0" lang="en-ZA" sz="900" b="0" i="0" u="none" strike="noStrike" kern="0" cap="none" spc="0" normalizeH="0" baseline="0" noProof="0">
              <a:ln>
                <a:noFill/>
              </a:ln>
              <a:solidFill>
                <a:prstClr val="white"/>
              </a:solidFill>
              <a:effectLst/>
              <a:uLnTx/>
              <a:uFillTx/>
              <a:latin typeface="Century Gothic" panose="020B0502020202020204" pitchFamily="34" charset="0"/>
              <a:ea typeface="+mn-ea"/>
              <a:cs typeface="+mn-cs"/>
            </a:rPr>
            <a:t>" </a:t>
          </a:r>
          <a:r>
            <a:rPr kumimoji="0" lang="en-ZA" sz="9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button.</a:t>
          </a:r>
        </a:p>
        <a:p>
          <a:endParaRPr lang="en-ZA" sz="900">
            <a:solidFill>
              <a:sysClr val="windowText" lastClr="000000"/>
            </a:solidFill>
            <a:latin typeface="Century Gothic" panose="020B0502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112219</xdr:colOff>
      <xdr:row>17</xdr:row>
      <xdr:rowOff>157669</xdr:rowOff>
    </xdr:from>
    <xdr:to>
      <xdr:col>2</xdr:col>
      <xdr:colOff>458167</xdr:colOff>
      <xdr:row>20</xdr:row>
      <xdr:rowOff>4589</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2255344"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6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6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6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1488386</xdr:colOff>
      <xdr:row>19</xdr:row>
      <xdr:rowOff>199246</xdr:rowOff>
    </xdr:from>
    <xdr:to>
      <xdr:col>2</xdr:col>
      <xdr:colOff>657225</xdr:colOff>
      <xdr:row>21</xdr:row>
      <xdr:rowOff>153745</xdr:rowOff>
    </xdr:to>
    <xdr:sp macro="" textlink="$Y$49">
      <xdr:nvSpPr>
        <xdr:cNvPr id="11" name="Rounded Rectangle 10">
          <a:extLst>
            <a:ext uri="{FF2B5EF4-FFF2-40B4-BE49-F238E27FC236}">
              <a16:creationId xmlns:a16="http://schemas.microsoft.com/office/drawing/2014/main" id="{00000000-0008-0000-0600-00000B000000}"/>
            </a:ext>
          </a:extLst>
        </xdr:cNvPr>
        <xdr:cNvSpPr/>
      </xdr:nvSpPr>
      <xdr:spPr>
        <a:xfrm>
          <a:off x="2097986"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1407338</xdr:colOff>
      <xdr:row>22</xdr:row>
      <xdr:rowOff>38308</xdr:rowOff>
    </xdr:from>
    <xdr:to>
      <xdr:col>2</xdr:col>
      <xdr:colOff>845204</xdr:colOff>
      <xdr:row>23</xdr:row>
      <xdr:rowOff>39424</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201693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6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6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6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6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6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6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6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6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6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6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6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6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6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6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6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6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6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6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6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6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6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6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6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May">
      <xdr:nvSpPr>
        <xdr:cNvPr id="105" name="Rounded Rectangle 104">
          <a:extLst>
            <a:ext uri="{FF2B5EF4-FFF2-40B4-BE49-F238E27FC236}">
              <a16:creationId xmlns:a16="http://schemas.microsoft.com/office/drawing/2014/main" id="{00000000-0008-0000-06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311AE154-8820-4CF0-B281-C354FC0B5EA8}"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6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6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6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6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6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6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6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6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628650</xdr:colOff>
      <xdr:row>12</xdr:row>
      <xdr:rowOff>114300</xdr:rowOff>
    </xdr:from>
    <xdr:to>
      <xdr:col>3</xdr:col>
      <xdr:colOff>786195</xdr:colOff>
      <xdr:row>25</xdr:row>
      <xdr:rowOff>19051</xdr:rowOff>
    </xdr:to>
    <xdr:grpSp>
      <xdr:nvGrpSpPr>
        <xdr:cNvPr id="114" name="Group 113">
          <a:extLst>
            <a:ext uri="{FF2B5EF4-FFF2-40B4-BE49-F238E27FC236}">
              <a16:creationId xmlns:a16="http://schemas.microsoft.com/office/drawing/2014/main" id="{00000000-0008-0000-0600-000072000000}"/>
            </a:ext>
          </a:extLst>
        </xdr:cNvPr>
        <xdr:cNvGrpSpPr/>
      </xdr:nvGrpSpPr>
      <xdr:grpSpPr>
        <a:xfrm>
          <a:off x="1238250" y="251460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6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6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6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6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6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6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6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6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6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6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6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6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6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6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6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6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6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6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6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6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6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6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6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6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6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6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6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6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6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6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6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6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6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6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6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6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6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6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6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6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6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6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6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6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6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6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6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6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6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6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6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6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6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6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6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6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12.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188419</xdr:colOff>
      <xdr:row>17</xdr:row>
      <xdr:rowOff>157669</xdr:rowOff>
    </xdr:from>
    <xdr:to>
      <xdr:col>2</xdr:col>
      <xdr:colOff>534367</xdr:colOff>
      <xdr:row>20</xdr:row>
      <xdr:rowOff>4589</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2331544"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7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7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7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1516961</xdr:colOff>
      <xdr:row>19</xdr:row>
      <xdr:rowOff>199246</xdr:rowOff>
    </xdr:from>
    <xdr:to>
      <xdr:col>2</xdr:col>
      <xdr:colOff>685800</xdr:colOff>
      <xdr:row>21</xdr:row>
      <xdr:rowOff>153745</xdr:rowOff>
    </xdr:to>
    <xdr:sp macro="" textlink="$Y$49">
      <xdr:nvSpPr>
        <xdr:cNvPr id="11" name="Rounded Rectangle 10">
          <a:extLst>
            <a:ext uri="{FF2B5EF4-FFF2-40B4-BE49-F238E27FC236}">
              <a16:creationId xmlns:a16="http://schemas.microsoft.com/office/drawing/2014/main" id="{00000000-0008-0000-0700-00000B000000}"/>
            </a:ext>
          </a:extLst>
        </xdr:cNvPr>
        <xdr:cNvSpPr/>
      </xdr:nvSpPr>
      <xdr:spPr>
        <a:xfrm>
          <a:off x="2126561"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1340663</xdr:colOff>
      <xdr:row>22</xdr:row>
      <xdr:rowOff>38308</xdr:rowOff>
    </xdr:from>
    <xdr:to>
      <xdr:col>2</xdr:col>
      <xdr:colOff>778529</xdr:colOff>
      <xdr:row>23</xdr:row>
      <xdr:rowOff>39424</xdr:rowOff>
    </xdr:to>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195026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914401</xdr:colOff>
      <xdr:row>14</xdr:row>
      <xdr:rowOff>171450</xdr:rowOff>
    </xdr:from>
    <xdr:to>
      <xdr:col>3</xdr:col>
      <xdr:colOff>485775</xdr:colOff>
      <xdr:row>21</xdr:row>
      <xdr:rowOff>162977</xdr:rowOff>
    </xdr:to>
    <xdr:grpSp>
      <xdr:nvGrpSpPr>
        <xdr:cNvPr id="25" name="Group 24">
          <a:extLst>
            <a:ext uri="{FF2B5EF4-FFF2-40B4-BE49-F238E27FC236}">
              <a16:creationId xmlns:a16="http://schemas.microsoft.com/office/drawing/2014/main" id="{00000000-0008-0000-0700-000019000000}"/>
            </a:ext>
          </a:extLst>
        </xdr:cNvPr>
        <xdr:cNvGrpSpPr/>
      </xdr:nvGrpSpPr>
      <xdr:grpSpPr>
        <a:xfrm>
          <a:off x="1524001" y="2971800"/>
          <a:ext cx="1952624" cy="1391702"/>
          <a:chOff x="2609850" y="3810000"/>
          <a:chExt cx="1812036" cy="1391702"/>
        </a:xfrm>
      </xdr:grpSpPr>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7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7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7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7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7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7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7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7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7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7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7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7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7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7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7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7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7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7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7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7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7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7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7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7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7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7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7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7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7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7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7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Jun">
      <xdr:nvSpPr>
        <xdr:cNvPr id="105" name="Rounded Rectangle 104">
          <a:extLst>
            <a:ext uri="{FF2B5EF4-FFF2-40B4-BE49-F238E27FC236}">
              <a16:creationId xmlns:a16="http://schemas.microsoft.com/office/drawing/2014/main" id="{00000000-0008-0000-07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A825DE84-9BA6-4971-B4A3-739ED03746A5}"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7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7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7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7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7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7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7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7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600075</xdr:colOff>
      <xdr:row>12</xdr:row>
      <xdr:rowOff>133350</xdr:rowOff>
    </xdr:from>
    <xdr:to>
      <xdr:col>3</xdr:col>
      <xdr:colOff>757620</xdr:colOff>
      <xdr:row>25</xdr:row>
      <xdr:rowOff>38101</xdr:rowOff>
    </xdr:to>
    <xdr:grpSp>
      <xdr:nvGrpSpPr>
        <xdr:cNvPr id="114" name="Group 113">
          <a:extLst>
            <a:ext uri="{FF2B5EF4-FFF2-40B4-BE49-F238E27FC236}">
              <a16:creationId xmlns:a16="http://schemas.microsoft.com/office/drawing/2014/main" id="{00000000-0008-0000-0700-000072000000}"/>
            </a:ext>
          </a:extLst>
        </xdr:cNvPr>
        <xdr:cNvGrpSpPr/>
      </xdr:nvGrpSpPr>
      <xdr:grpSpPr>
        <a:xfrm>
          <a:off x="1209675" y="253365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7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7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7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7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7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7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7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7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7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7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7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7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7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7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7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7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7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7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7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7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7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7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7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7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7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7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7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7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7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7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7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7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7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7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7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7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7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7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7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7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7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7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7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7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7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7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7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7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7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7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7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7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7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7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7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7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14.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207469</xdr:colOff>
      <xdr:row>17</xdr:row>
      <xdr:rowOff>157669</xdr:rowOff>
    </xdr:from>
    <xdr:to>
      <xdr:col>2</xdr:col>
      <xdr:colOff>553417</xdr:colOff>
      <xdr:row>20</xdr:row>
      <xdr:rowOff>4589</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2350594"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8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8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8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2</xdr:col>
      <xdr:colOff>50111</xdr:colOff>
      <xdr:row>19</xdr:row>
      <xdr:rowOff>199246</xdr:rowOff>
    </xdr:from>
    <xdr:to>
      <xdr:col>2</xdr:col>
      <xdr:colOff>752475</xdr:colOff>
      <xdr:row>21</xdr:row>
      <xdr:rowOff>153745</xdr:rowOff>
    </xdr:to>
    <xdr:sp macro="" textlink="$Y$49">
      <xdr:nvSpPr>
        <xdr:cNvPr id="11" name="Rounded Rectangle 10">
          <a:extLst>
            <a:ext uri="{FF2B5EF4-FFF2-40B4-BE49-F238E27FC236}">
              <a16:creationId xmlns:a16="http://schemas.microsoft.com/office/drawing/2014/main" id="{00000000-0008-0000-0800-00000B000000}"/>
            </a:ext>
          </a:extLst>
        </xdr:cNvPr>
        <xdr:cNvSpPr/>
      </xdr:nvSpPr>
      <xdr:spPr>
        <a:xfrm>
          <a:off x="2193236"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1397813</xdr:colOff>
      <xdr:row>22</xdr:row>
      <xdr:rowOff>38308</xdr:rowOff>
    </xdr:from>
    <xdr:to>
      <xdr:col>2</xdr:col>
      <xdr:colOff>835679</xdr:colOff>
      <xdr:row>23</xdr:row>
      <xdr:rowOff>39424</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200741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923926</xdr:colOff>
      <xdr:row>14</xdr:row>
      <xdr:rowOff>190500</xdr:rowOff>
    </xdr:from>
    <xdr:to>
      <xdr:col>3</xdr:col>
      <xdr:colOff>485776</xdr:colOff>
      <xdr:row>21</xdr:row>
      <xdr:rowOff>182027</xdr:rowOff>
    </xdr:to>
    <xdr:grpSp>
      <xdr:nvGrpSpPr>
        <xdr:cNvPr id="25" name="Group 24">
          <a:extLst>
            <a:ext uri="{FF2B5EF4-FFF2-40B4-BE49-F238E27FC236}">
              <a16:creationId xmlns:a16="http://schemas.microsoft.com/office/drawing/2014/main" id="{00000000-0008-0000-0800-000019000000}"/>
            </a:ext>
          </a:extLst>
        </xdr:cNvPr>
        <xdr:cNvGrpSpPr/>
      </xdr:nvGrpSpPr>
      <xdr:grpSpPr>
        <a:xfrm>
          <a:off x="1533526" y="2990850"/>
          <a:ext cx="1943100" cy="1391702"/>
          <a:chOff x="2609850" y="3810000"/>
          <a:chExt cx="1812036" cy="1391702"/>
        </a:xfrm>
      </xdr:grpSpPr>
      <xdr:sp macro="" textlink="">
        <xdr:nvSpPr>
          <xdr:cNvPr id="26" name="TextBox 25">
            <a:extLst>
              <a:ext uri="{FF2B5EF4-FFF2-40B4-BE49-F238E27FC236}">
                <a16:creationId xmlns:a16="http://schemas.microsoft.com/office/drawing/2014/main" id="{00000000-0008-0000-08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8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8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8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8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8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8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8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8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8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8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8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8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8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8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8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8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8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8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8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8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8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8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8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8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8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8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8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8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8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8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8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8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Jul">
      <xdr:nvSpPr>
        <xdr:cNvPr id="105" name="Rounded Rectangle 104">
          <a:extLst>
            <a:ext uri="{FF2B5EF4-FFF2-40B4-BE49-F238E27FC236}">
              <a16:creationId xmlns:a16="http://schemas.microsoft.com/office/drawing/2014/main" id="{00000000-0008-0000-08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F0422621-B2BD-47B6-AC79-D3AFB58C1FF3}"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8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8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8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8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8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8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8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8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590550</xdr:colOff>
      <xdr:row>12</xdr:row>
      <xdr:rowOff>161925</xdr:rowOff>
    </xdr:from>
    <xdr:to>
      <xdr:col>3</xdr:col>
      <xdr:colOff>748095</xdr:colOff>
      <xdr:row>25</xdr:row>
      <xdr:rowOff>66676</xdr:rowOff>
    </xdr:to>
    <xdr:grpSp>
      <xdr:nvGrpSpPr>
        <xdr:cNvPr id="114" name="Group 113">
          <a:extLst>
            <a:ext uri="{FF2B5EF4-FFF2-40B4-BE49-F238E27FC236}">
              <a16:creationId xmlns:a16="http://schemas.microsoft.com/office/drawing/2014/main" id="{00000000-0008-0000-0800-000072000000}"/>
            </a:ext>
          </a:extLst>
        </xdr:cNvPr>
        <xdr:cNvGrpSpPr/>
      </xdr:nvGrpSpPr>
      <xdr:grpSpPr>
        <a:xfrm>
          <a:off x="1200150" y="2562225"/>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8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8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8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8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8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8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8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8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8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8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8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8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8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8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8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8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8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8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8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8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8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8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8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8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8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8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8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8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8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8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8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8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8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8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8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8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8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8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8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8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8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8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8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8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8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8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8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8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8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8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8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8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8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8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8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8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16.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197944</xdr:colOff>
      <xdr:row>17</xdr:row>
      <xdr:rowOff>186244</xdr:rowOff>
    </xdr:from>
    <xdr:to>
      <xdr:col>2</xdr:col>
      <xdr:colOff>543892</xdr:colOff>
      <xdr:row>20</xdr:row>
      <xdr:rowOff>33164</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2341069" y="3586669"/>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9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9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9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1516961</xdr:colOff>
      <xdr:row>20</xdr:row>
      <xdr:rowOff>27796</xdr:rowOff>
    </xdr:from>
    <xdr:to>
      <xdr:col>2</xdr:col>
      <xdr:colOff>685800</xdr:colOff>
      <xdr:row>21</xdr:row>
      <xdr:rowOff>182320</xdr:rowOff>
    </xdr:to>
    <xdr:sp macro="" textlink="$Y$49">
      <xdr:nvSpPr>
        <xdr:cNvPr id="11" name="Rounded Rectangle 10">
          <a:extLst>
            <a:ext uri="{FF2B5EF4-FFF2-40B4-BE49-F238E27FC236}">
              <a16:creationId xmlns:a16="http://schemas.microsoft.com/office/drawing/2014/main" id="{00000000-0008-0000-0900-00000B000000}"/>
            </a:ext>
          </a:extLst>
        </xdr:cNvPr>
        <xdr:cNvSpPr/>
      </xdr:nvSpPr>
      <xdr:spPr>
        <a:xfrm>
          <a:off x="2126561" y="4028296"/>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1397813</xdr:colOff>
      <xdr:row>22</xdr:row>
      <xdr:rowOff>38308</xdr:rowOff>
    </xdr:from>
    <xdr:to>
      <xdr:col>2</xdr:col>
      <xdr:colOff>835679</xdr:colOff>
      <xdr:row>23</xdr:row>
      <xdr:rowOff>39424</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200741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752475</xdr:colOff>
      <xdr:row>14</xdr:row>
      <xdr:rowOff>152400</xdr:rowOff>
    </xdr:from>
    <xdr:to>
      <xdr:col>3</xdr:col>
      <xdr:colOff>421386</xdr:colOff>
      <xdr:row>21</xdr:row>
      <xdr:rowOff>143927</xdr:rowOff>
    </xdr:to>
    <xdr:grpSp>
      <xdr:nvGrpSpPr>
        <xdr:cNvPr id="25" name="Group 24">
          <a:extLst>
            <a:ext uri="{FF2B5EF4-FFF2-40B4-BE49-F238E27FC236}">
              <a16:creationId xmlns:a16="http://schemas.microsoft.com/office/drawing/2014/main" id="{00000000-0008-0000-0900-000019000000}"/>
            </a:ext>
          </a:extLst>
        </xdr:cNvPr>
        <xdr:cNvGrpSpPr/>
      </xdr:nvGrpSpPr>
      <xdr:grpSpPr>
        <a:xfrm>
          <a:off x="1362075" y="2952750"/>
          <a:ext cx="2050161" cy="1391702"/>
          <a:chOff x="2609850" y="3810000"/>
          <a:chExt cx="1812036" cy="1391702"/>
        </a:xfrm>
      </xdr:grpSpPr>
      <xdr:sp macro="" textlink="">
        <xdr:nvSpPr>
          <xdr:cNvPr id="26" name="TextBox 25">
            <a:extLst>
              <a:ext uri="{FF2B5EF4-FFF2-40B4-BE49-F238E27FC236}">
                <a16:creationId xmlns:a16="http://schemas.microsoft.com/office/drawing/2014/main" id="{00000000-0008-0000-09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9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9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9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9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9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9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9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9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9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9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9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9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9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9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9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9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9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9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9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9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9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9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9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9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9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9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9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9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9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9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9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9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9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Aug">
      <xdr:nvSpPr>
        <xdr:cNvPr id="105" name="Rounded Rectangle 104">
          <a:extLst>
            <a:ext uri="{FF2B5EF4-FFF2-40B4-BE49-F238E27FC236}">
              <a16:creationId xmlns:a16="http://schemas.microsoft.com/office/drawing/2014/main" id="{00000000-0008-0000-09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00D7473C-3D80-46BF-9523-022667442AE3}"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9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9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9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9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9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9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9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9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590550</xdr:colOff>
      <xdr:row>12</xdr:row>
      <xdr:rowOff>152400</xdr:rowOff>
    </xdr:from>
    <xdr:to>
      <xdr:col>3</xdr:col>
      <xdr:colOff>748095</xdr:colOff>
      <xdr:row>25</xdr:row>
      <xdr:rowOff>57151</xdr:rowOff>
    </xdr:to>
    <xdr:grpSp>
      <xdr:nvGrpSpPr>
        <xdr:cNvPr id="114" name="Group 113">
          <a:extLst>
            <a:ext uri="{FF2B5EF4-FFF2-40B4-BE49-F238E27FC236}">
              <a16:creationId xmlns:a16="http://schemas.microsoft.com/office/drawing/2014/main" id="{00000000-0008-0000-0900-000072000000}"/>
            </a:ext>
          </a:extLst>
        </xdr:cNvPr>
        <xdr:cNvGrpSpPr/>
      </xdr:nvGrpSpPr>
      <xdr:grpSpPr>
        <a:xfrm>
          <a:off x="1200150" y="255270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9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9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9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9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9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9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9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9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9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9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9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9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9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9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9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9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9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9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9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9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9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9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9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9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9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9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9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9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9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9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9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9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9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9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9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9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9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9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9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9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9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9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9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9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9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9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9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9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9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9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9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9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9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9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9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9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18.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216994</xdr:colOff>
      <xdr:row>17</xdr:row>
      <xdr:rowOff>157669</xdr:rowOff>
    </xdr:from>
    <xdr:to>
      <xdr:col>2</xdr:col>
      <xdr:colOff>562942</xdr:colOff>
      <xdr:row>20</xdr:row>
      <xdr:rowOff>4589</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2360119"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A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A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A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2</xdr:col>
      <xdr:colOff>2486</xdr:colOff>
      <xdr:row>19</xdr:row>
      <xdr:rowOff>199246</xdr:rowOff>
    </xdr:from>
    <xdr:to>
      <xdr:col>2</xdr:col>
      <xdr:colOff>704850</xdr:colOff>
      <xdr:row>21</xdr:row>
      <xdr:rowOff>153745</xdr:rowOff>
    </xdr:to>
    <xdr:sp macro="" textlink="$Y$49">
      <xdr:nvSpPr>
        <xdr:cNvPr id="11" name="Rounded Rectangle 10">
          <a:extLst>
            <a:ext uri="{FF2B5EF4-FFF2-40B4-BE49-F238E27FC236}">
              <a16:creationId xmlns:a16="http://schemas.microsoft.com/office/drawing/2014/main" id="{00000000-0008-0000-0A00-00000B000000}"/>
            </a:ext>
          </a:extLst>
        </xdr:cNvPr>
        <xdr:cNvSpPr/>
      </xdr:nvSpPr>
      <xdr:spPr>
        <a:xfrm>
          <a:off x="2145611"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1464488</xdr:colOff>
      <xdr:row>22</xdr:row>
      <xdr:rowOff>38308</xdr:rowOff>
    </xdr:from>
    <xdr:to>
      <xdr:col>3</xdr:col>
      <xdr:colOff>54629</xdr:colOff>
      <xdr:row>23</xdr:row>
      <xdr:rowOff>39424</xdr:rowOff>
    </xdr:to>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207408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962025</xdr:colOff>
      <xdr:row>15</xdr:row>
      <xdr:rowOff>0</xdr:rowOff>
    </xdr:from>
    <xdr:to>
      <xdr:col>3</xdr:col>
      <xdr:colOff>469010</xdr:colOff>
      <xdr:row>21</xdr:row>
      <xdr:rowOff>143926</xdr:rowOff>
    </xdr:to>
    <xdr:grpSp>
      <xdr:nvGrpSpPr>
        <xdr:cNvPr id="25" name="Group 24">
          <a:extLst>
            <a:ext uri="{FF2B5EF4-FFF2-40B4-BE49-F238E27FC236}">
              <a16:creationId xmlns:a16="http://schemas.microsoft.com/office/drawing/2014/main" id="{00000000-0008-0000-0A00-000019000000}"/>
            </a:ext>
          </a:extLst>
        </xdr:cNvPr>
        <xdr:cNvGrpSpPr/>
      </xdr:nvGrpSpPr>
      <xdr:grpSpPr>
        <a:xfrm>
          <a:off x="1571625" y="3000375"/>
          <a:ext cx="1888235" cy="1344076"/>
          <a:chOff x="2609850" y="3810000"/>
          <a:chExt cx="1812036" cy="1391702"/>
        </a:xfrm>
      </xdr:grpSpPr>
      <xdr:sp macro="" textlink="">
        <xdr:nvSpPr>
          <xdr:cNvPr id="26" name="TextBox 25">
            <a:extLst>
              <a:ext uri="{FF2B5EF4-FFF2-40B4-BE49-F238E27FC236}">
                <a16:creationId xmlns:a16="http://schemas.microsoft.com/office/drawing/2014/main" id="{00000000-0008-0000-0A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A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A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A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A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A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A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A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A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A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A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A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A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A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A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A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A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A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A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A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A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A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A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A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A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A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A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A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A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A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A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A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A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A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A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Sep">
      <xdr:nvSpPr>
        <xdr:cNvPr id="105" name="Rounded Rectangle 104">
          <a:extLst>
            <a:ext uri="{FF2B5EF4-FFF2-40B4-BE49-F238E27FC236}">
              <a16:creationId xmlns:a16="http://schemas.microsoft.com/office/drawing/2014/main" id="{00000000-0008-0000-0A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5D083054-B3DF-4B7A-8884-BF1FD7F3617F}"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A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A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A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A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A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A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A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A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619125</xdr:colOff>
      <xdr:row>12</xdr:row>
      <xdr:rowOff>114300</xdr:rowOff>
    </xdr:from>
    <xdr:to>
      <xdr:col>3</xdr:col>
      <xdr:colOff>776670</xdr:colOff>
      <xdr:row>25</xdr:row>
      <xdr:rowOff>19051</xdr:rowOff>
    </xdr:to>
    <xdr:grpSp>
      <xdr:nvGrpSpPr>
        <xdr:cNvPr id="114" name="Group 113">
          <a:extLst>
            <a:ext uri="{FF2B5EF4-FFF2-40B4-BE49-F238E27FC236}">
              <a16:creationId xmlns:a16="http://schemas.microsoft.com/office/drawing/2014/main" id="{00000000-0008-0000-0A00-000072000000}"/>
            </a:ext>
          </a:extLst>
        </xdr:cNvPr>
        <xdr:cNvGrpSpPr/>
      </xdr:nvGrpSpPr>
      <xdr:grpSpPr>
        <a:xfrm>
          <a:off x="1228725" y="251460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A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A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A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A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A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A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A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A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A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A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A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A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A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A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A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A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A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A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A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A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A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A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A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A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A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A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A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A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A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A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A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A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A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A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A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A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A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A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A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A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A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A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A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A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A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A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A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A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A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A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A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A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A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A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A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A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19050</xdr:rowOff>
    </xdr:from>
    <xdr:ext cx="2356139" cy="820363"/>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2356139" cy="82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20</xdr:col>
      <xdr:colOff>409575</xdr:colOff>
      <xdr:row>0</xdr:row>
      <xdr:rowOff>0</xdr:rowOff>
    </xdr:from>
    <xdr:to>
      <xdr:col>24</xdr:col>
      <xdr:colOff>457200</xdr:colOff>
      <xdr:row>4</xdr:row>
      <xdr:rowOff>86114</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2601575" y="0"/>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47625</xdr:colOff>
      <xdr:row>14</xdr:row>
      <xdr:rowOff>9525</xdr:rowOff>
    </xdr:from>
    <xdr:to>
      <xdr:col>1</xdr:col>
      <xdr:colOff>266700</xdr:colOff>
      <xdr:row>14</xdr:row>
      <xdr:rowOff>9525</xdr:rowOff>
    </xdr:to>
    <xdr:sp macro="" textlink="">
      <xdr:nvSpPr>
        <xdr:cNvPr id="6" name="Round Diagonal Corner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MAR</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7" name="Round Diagonal Corner Rectangle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APR</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8" name="Round Diagonal Corner Rectangle 7">
          <a:hlinkClick xmlns:r="http://schemas.openxmlformats.org/officeDocument/2006/relationships" r:id="rId5"/>
          <a:extLst>
            <a:ext uri="{FF2B5EF4-FFF2-40B4-BE49-F238E27FC236}">
              <a16:creationId xmlns:a16="http://schemas.microsoft.com/office/drawing/2014/main" id="{00000000-0008-0000-0100-000008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MAY</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9" name="Round Diagonal Corner Rectangle 8">
          <a:hlinkClick xmlns:r="http://schemas.openxmlformats.org/officeDocument/2006/relationships" r:id="rId6"/>
          <a:extLst>
            <a:ext uri="{FF2B5EF4-FFF2-40B4-BE49-F238E27FC236}">
              <a16:creationId xmlns:a16="http://schemas.microsoft.com/office/drawing/2014/main" id="{00000000-0008-0000-0100-000009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JUN</a:t>
          </a:r>
        </a:p>
      </xdr:txBody>
    </xdr:sp>
    <xdr:clientData/>
  </xdr:twoCellAnchor>
  <xdr:twoCellAnchor>
    <xdr:from>
      <xdr:col>0</xdr:col>
      <xdr:colOff>47625</xdr:colOff>
      <xdr:row>14</xdr:row>
      <xdr:rowOff>9525</xdr:rowOff>
    </xdr:from>
    <xdr:to>
      <xdr:col>1</xdr:col>
      <xdr:colOff>266700</xdr:colOff>
      <xdr:row>14</xdr:row>
      <xdr:rowOff>9525</xdr:rowOff>
    </xdr:to>
    <xdr:sp macro="" textlink="">
      <xdr:nvSpPr>
        <xdr:cNvPr id="10" name="Round Diagonal Corner Rectangle 9">
          <a:hlinkClick xmlns:r="http://schemas.openxmlformats.org/officeDocument/2006/relationships" r:id="rId7"/>
          <a:extLst>
            <a:ext uri="{FF2B5EF4-FFF2-40B4-BE49-F238E27FC236}">
              <a16:creationId xmlns:a16="http://schemas.microsoft.com/office/drawing/2014/main" id="{00000000-0008-0000-0100-00000A000000}"/>
            </a:ext>
          </a:extLst>
        </xdr:cNvPr>
        <xdr:cNvSpPr/>
      </xdr:nvSpPr>
      <xdr:spPr>
        <a:xfrm>
          <a:off x="47625" y="2590800"/>
          <a:ext cx="828675" cy="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JUL</a:t>
          </a:r>
        </a:p>
      </xdr:txBody>
    </xdr:sp>
    <xdr:clientData/>
  </xdr:twoCellAnchor>
  <xdr:twoCellAnchor>
    <xdr:from>
      <xdr:col>1</xdr:col>
      <xdr:colOff>9525</xdr:colOff>
      <xdr:row>12</xdr:row>
      <xdr:rowOff>133350</xdr:rowOff>
    </xdr:from>
    <xdr:to>
      <xdr:col>2</xdr:col>
      <xdr:colOff>228600</xdr:colOff>
      <xdr:row>14</xdr:row>
      <xdr:rowOff>19050</xdr:rowOff>
    </xdr:to>
    <xdr:sp macro="" textlink="">
      <xdr:nvSpPr>
        <xdr:cNvPr id="17" name="Round Diagonal Corner Rectangle 16">
          <a:hlinkClick xmlns:r="http://schemas.openxmlformats.org/officeDocument/2006/relationships" r:id="rId8"/>
          <a:extLst>
            <a:ext uri="{FF2B5EF4-FFF2-40B4-BE49-F238E27FC236}">
              <a16:creationId xmlns:a16="http://schemas.microsoft.com/office/drawing/2014/main" id="{00000000-0008-0000-0100-000011000000}"/>
            </a:ext>
          </a:extLst>
        </xdr:cNvPr>
        <xdr:cNvSpPr/>
      </xdr:nvSpPr>
      <xdr:spPr>
        <a:xfrm>
          <a:off x="619125" y="23526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JAN</a:t>
          </a:r>
        </a:p>
      </xdr:txBody>
    </xdr:sp>
    <xdr:clientData/>
  </xdr:twoCellAnchor>
  <xdr:twoCellAnchor>
    <xdr:from>
      <xdr:col>1</xdr:col>
      <xdr:colOff>9525</xdr:colOff>
      <xdr:row>14</xdr:row>
      <xdr:rowOff>76200</xdr:rowOff>
    </xdr:from>
    <xdr:to>
      <xdr:col>2</xdr:col>
      <xdr:colOff>228600</xdr:colOff>
      <xdr:row>15</xdr:row>
      <xdr:rowOff>142875</xdr:rowOff>
    </xdr:to>
    <xdr:sp macro="" textlink="">
      <xdr:nvSpPr>
        <xdr:cNvPr id="18" name="Round Diagonal Corner Rectangle 17">
          <a:hlinkClick xmlns:r="http://schemas.openxmlformats.org/officeDocument/2006/relationships" r:id="rId9"/>
          <a:extLst>
            <a:ext uri="{FF2B5EF4-FFF2-40B4-BE49-F238E27FC236}">
              <a16:creationId xmlns:a16="http://schemas.microsoft.com/office/drawing/2014/main" id="{00000000-0008-0000-0100-000012000000}"/>
            </a:ext>
          </a:extLst>
        </xdr:cNvPr>
        <xdr:cNvSpPr/>
      </xdr:nvSpPr>
      <xdr:spPr>
        <a:xfrm>
          <a:off x="619125" y="26574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FEB</a:t>
          </a:r>
        </a:p>
      </xdr:txBody>
    </xdr:sp>
    <xdr:clientData/>
  </xdr:twoCellAnchor>
  <xdr:twoCellAnchor>
    <xdr:from>
      <xdr:col>1</xdr:col>
      <xdr:colOff>9525</xdr:colOff>
      <xdr:row>16</xdr:row>
      <xdr:rowOff>19050</xdr:rowOff>
    </xdr:from>
    <xdr:to>
      <xdr:col>2</xdr:col>
      <xdr:colOff>228600</xdr:colOff>
      <xdr:row>17</xdr:row>
      <xdr:rowOff>85725</xdr:rowOff>
    </xdr:to>
    <xdr:sp macro="" textlink="">
      <xdr:nvSpPr>
        <xdr:cNvPr id="19" name="Round Diagonal Corner Rectangle 18">
          <a:hlinkClick xmlns:r="http://schemas.openxmlformats.org/officeDocument/2006/relationships" r:id="rId3"/>
          <a:extLst>
            <a:ext uri="{FF2B5EF4-FFF2-40B4-BE49-F238E27FC236}">
              <a16:creationId xmlns:a16="http://schemas.microsoft.com/office/drawing/2014/main" id="{00000000-0008-0000-0100-000013000000}"/>
            </a:ext>
          </a:extLst>
        </xdr:cNvPr>
        <xdr:cNvSpPr/>
      </xdr:nvSpPr>
      <xdr:spPr>
        <a:xfrm>
          <a:off x="619125" y="29622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MAR</a:t>
          </a:r>
        </a:p>
      </xdr:txBody>
    </xdr:sp>
    <xdr:clientData/>
  </xdr:twoCellAnchor>
  <xdr:twoCellAnchor>
    <xdr:from>
      <xdr:col>1</xdr:col>
      <xdr:colOff>9525</xdr:colOff>
      <xdr:row>17</xdr:row>
      <xdr:rowOff>142875</xdr:rowOff>
    </xdr:from>
    <xdr:to>
      <xdr:col>2</xdr:col>
      <xdr:colOff>228600</xdr:colOff>
      <xdr:row>19</xdr:row>
      <xdr:rowOff>28575</xdr:rowOff>
    </xdr:to>
    <xdr:sp macro="" textlink="">
      <xdr:nvSpPr>
        <xdr:cNvPr id="20" name="Round Diagonal Corner Rectangle 19">
          <a:hlinkClick xmlns:r="http://schemas.openxmlformats.org/officeDocument/2006/relationships" r:id="rId10"/>
          <a:extLst>
            <a:ext uri="{FF2B5EF4-FFF2-40B4-BE49-F238E27FC236}">
              <a16:creationId xmlns:a16="http://schemas.microsoft.com/office/drawing/2014/main" id="{00000000-0008-0000-0100-000014000000}"/>
            </a:ext>
          </a:extLst>
        </xdr:cNvPr>
        <xdr:cNvSpPr/>
      </xdr:nvSpPr>
      <xdr:spPr>
        <a:xfrm>
          <a:off x="619125" y="32670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APR</a:t>
          </a:r>
        </a:p>
      </xdr:txBody>
    </xdr:sp>
    <xdr:clientData/>
  </xdr:twoCellAnchor>
  <xdr:twoCellAnchor>
    <xdr:from>
      <xdr:col>1</xdr:col>
      <xdr:colOff>9525</xdr:colOff>
      <xdr:row>19</xdr:row>
      <xdr:rowOff>85725</xdr:rowOff>
    </xdr:from>
    <xdr:to>
      <xdr:col>2</xdr:col>
      <xdr:colOff>228600</xdr:colOff>
      <xdr:row>20</xdr:row>
      <xdr:rowOff>152400</xdr:rowOff>
    </xdr:to>
    <xdr:sp macro="" textlink="">
      <xdr:nvSpPr>
        <xdr:cNvPr id="21" name="Round Diagonal Corner Rectangle 20">
          <a:hlinkClick xmlns:r="http://schemas.openxmlformats.org/officeDocument/2006/relationships" r:id="rId5"/>
          <a:extLst>
            <a:ext uri="{FF2B5EF4-FFF2-40B4-BE49-F238E27FC236}">
              <a16:creationId xmlns:a16="http://schemas.microsoft.com/office/drawing/2014/main" id="{00000000-0008-0000-0100-000015000000}"/>
            </a:ext>
          </a:extLst>
        </xdr:cNvPr>
        <xdr:cNvSpPr/>
      </xdr:nvSpPr>
      <xdr:spPr>
        <a:xfrm>
          <a:off x="619125" y="35718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MAY</a:t>
          </a:r>
        </a:p>
      </xdr:txBody>
    </xdr:sp>
    <xdr:clientData/>
  </xdr:twoCellAnchor>
  <xdr:twoCellAnchor>
    <xdr:from>
      <xdr:col>1</xdr:col>
      <xdr:colOff>9525</xdr:colOff>
      <xdr:row>21</xdr:row>
      <xdr:rowOff>28575</xdr:rowOff>
    </xdr:from>
    <xdr:to>
      <xdr:col>2</xdr:col>
      <xdr:colOff>228600</xdr:colOff>
      <xdr:row>22</xdr:row>
      <xdr:rowOff>95250</xdr:rowOff>
    </xdr:to>
    <xdr:sp macro="" textlink="">
      <xdr:nvSpPr>
        <xdr:cNvPr id="22" name="Round Diagonal Corner Rectangle 21">
          <a:hlinkClick xmlns:r="http://schemas.openxmlformats.org/officeDocument/2006/relationships" r:id="rId6"/>
          <a:extLst>
            <a:ext uri="{FF2B5EF4-FFF2-40B4-BE49-F238E27FC236}">
              <a16:creationId xmlns:a16="http://schemas.microsoft.com/office/drawing/2014/main" id="{00000000-0008-0000-0100-000016000000}"/>
            </a:ext>
          </a:extLst>
        </xdr:cNvPr>
        <xdr:cNvSpPr/>
      </xdr:nvSpPr>
      <xdr:spPr>
        <a:xfrm>
          <a:off x="619125" y="38766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JUN</a:t>
          </a:r>
        </a:p>
      </xdr:txBody>
    </xdr:sp>
    <xdr:clientData/>
  </xdr:twoCellAnchor>
  <xdr:twoCellAnchor>
    <xdr:from>
      <xdr:col>1</xdr:col>
      <xdr:colOff>9525</xdr:colOff>
      <xdr:row>22</xdr:row>
      <xdr:rowOff>152400</xdr:rowOff>
    </xdr:from>
    <xdr:to>
      <xdr:col>2</xdr:col>
      <xdr:colOff>228600</xdr:colOff>
      <xdr:row>24</xdr:row>
      <xdr:rowOff>38100</xdr:rowOff>
    </xdr:to>
    <xdr:sp macro="" textlink="">
      <xdr:nvSpPr>
        <xdr:cNvPr id="23" name="Round Diagonal Corner Rectangle 22">
          <a:hlinkClick xmlns:r="http://schemas.openxmlformats.org/officeDocument/2006/relationships" r:id="rId7"/>
          <a:extLst>
            <a:ext uri="{FF2B5EF4-FFF2-40B4-BE49-F238E27FC236}">
              <a16:creationId xmlns:a16="http://schemas.microsoft.com/office/drawing/2014/main" id="{00000000-0008-0000-0100-000017000000}"/>
            </a:ext>
          </a:extLst>
        </xdr:cNvPr>
        <xdr:cNvSpPr/>
      </xdr:nvSpPr>
      <xdr:spPr>
        <a:xfrm>
          <a:off x="619125" y="41814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JUL</a:t>
          </a:r>
        </a:p>
      </xdr:txBody>
    </xdr:sp>
    <xdr:clientData/>
  </xdr:twoCellAnchor>
  <xdr:twoCellAnchor>
    <xdr:from>
      <xdr:col>1</xdr:col>
      <xdr:colOff>9525</xdr:colOff>
      <xdr:row>24</xdr:row>
      <xdr:rowOff>95250</xdr:rowOff>
    </xdr:from>
    <xdr:to>
      <xdr:col>2</xdr:col>
      <xdr:colOff>228600</xdr:colOff>
      <xdr:row>25</xdr:row>
      <xdr:rowOff>161925</xdr:rowOff>
    </xdr:to>
    <xdr:sp macro="" textlink="">
      <xdr:nvSpPr>
        <xdr:cNvPr id="24" name="Round Diagonal Corner Rectangle 23">
          <a:hlinkClick xmlns:r="http://schemas.openxmlformats.org/officeDocument/2006/relationships" r:id="rId11"/>
          <a:extLst>
            <a:ext uri="{FF2B5EF4-FFF2-40B4-BE49-F238E27FC236}">
              <a16:creationId xmlns:a16="http://schemas.microsoft.com/office/drawing/2014/main" id="{00000000-0008-0000-0100-000018000000}"/>
            </a:ext>
          </a:extLst>
        </xdr:cNvPr>
        <xdr:cNvSpPr/>
      </xdr:nvSpPr>
      <xdr:spPr>
        <a:xfrm>
          <a:off x="619125" y="44862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AUG</a:t>
          </a:r>
        </a:p>
      </xdr:txBody>
    </xdr:sp>
    <xdr:clientData/>
  </xdr:twoCellAnchor>
  <xdr:twoCellAnchor>
    <xdr:from>
      <xdr:col>1</xdr:col>
      <xdr:colOff>9525</xdr:colOff>
      <xdr:row>26</xdr:row>
      <xdr:rowOff>38100</xdr:rowOff>
    </xdr:from>
    <xdr:to>
      <xdr:col>2</xdr:col>
      <xdr:colOff>228600</xdr:colOff>
      <xdr:row>27</xdr:row>
      <xdr:rowOff>104775</xdr:rowOff>
    </xdr:to>
    <xdr:sp macro="" textlink="">
      <xdr:nvSpPr>
        <xdr:cNvPr id="25" name="Round Diagonal Corner Rectangle 24">
          <a:hlinkClick xmlns:r="http://schemas.openxmlformats.org/officeDocument/2006/relationships" r:id="rId12"/>
          <a:extLst>
            <a:ext uri="{FF2B5EF4-FFF2-40B4-BE49-F238E27FC236}">
              <a16:creationId xmlns:a16="http://schemas.microsoft.com/office/drawing/2014/main" id="{00000000-0008-0000-0100-000019000000}"/>
            </a:ext>
          </a:extLst>
        </xdr:cNvPr>
        <xdr:cNvSpPr/>
      </xdr:nvSpPr>
      <xdr:spPr>
        <a:xfrm>
          <a:off x="619125" y="47910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SEP</a:t>
          </a:r>
        </a:p>
      </xdr:txBody>
    </xdr:sp>
    <xdr:clientData/>
  </xdr:twoCellAnchor>
  <xdr:twoCellAnchor>
    <xdr:from>
      <xdr:col>1</xdr:col>
      <xdr:colOff>9525</xdr:colOff>
      <xdr:row>27</xdr:row>
      <xdr:rowOff>161925</xdr:rowOff>
    </xdr:from>
    <xdr:to>
      <xdr:col>2</xdr:col>
      <xdr:colOff>228600</xdr:colOff>
      <xdr:row>29</xdr:row>
      <xdr:rowOff>47625</xdr:rowOff>
    </xdr:to>
    <xdr:sp macro="" textlink="">
      <xdr:nvSpPr>
        <xdr:cNvPr id="26" name="Round Diagonal Corner Rectangle 25">
          <a:hlinkClick xmlns:r="http://schemas.openxmlformats.org/officeDocument/2006/relationships" r:id="rId13"/>
          <a:extLst>
            <a:ext uri="{FF2B5EF4-FFF2-40B4-BE49-F238E27FC236}">
              <a16:creationId xmlns:a16="http://schemas.microsoft.com/office/drawing/2014/main" id="{00000000-0008-0000-0100-00001A000000}"/>
            </a:ext>
          </a:extLst>
        </xdr:cNvPr>
        <xdr:cNvSpPr/>
      </xdr:nvSpPr>
      <xdr:spPr>
        <a:xfrm>
          <a:off x="619125" y="50958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OCT</a:t>
          </a:r>
        </a:p>
      </xdr:txBody>
    </xdr:sp>
    <xdr:clientData/>
  </xdr:twoCellAnchor>
  <xdr:twoCellAnchor>
    <xdr:from>
      <xdr:col>1</xdr:col>
      <xdr:colOff>9525</xdr:colOff>
      <xdr:row>29</xdr:row>
      <xdr:rowOff>104775</xdr:rowOff>
    </xdr:from>
    <xdr:to>
      <xdr:col>2</xdr:col>
      <xdr:colOff>228600</xdr:colOff>
      <xdr:row>29</xdr:row>
      <xdr:rowOff>352425</xdr:rowOff>
    </xdr:to>
    <xdr:sp macro="" textlink="">
      <xdr:nvSpPr>
        <xdr:cNvPr id="27" name="Round Diagonal Corner Rectangle 26">
          <a:hlinkClick xmlns:r="http://schemas.openxmlformats.org/officeDocument/2006/relationships" r:id="rId14"/>
          <a:extLst>
            <a:ext uri="{FF2B5EF4-FFF2-40B4-BE49-F238E27FC236}">
              <a16:creationId xmlns:a16="http://schemas.microsoft.com/office/drawing/2014/main" id="{00000000-0008-0000-0100-00001B000000}"/>
            </a:ext>
          </a:extLst>
        </xdr:cNvPr>
        <xdr:cNvSpPr/>
      </xdr:nvSpPr>
      <xdr:spPr>
        <a:xfrm>
          <a:off x="619125" y="54006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NOV</a:t>
          </a:r>
        </a:p>
      </xdr:txBody>
    </xdr:sp>
    <xdr:clientData/>
  </xdr:twoCellAnchor>
  <xdr:twoCellAnchor>
    <xdr:from>
      <xdr:col>1</xdr:col>
      <xdr:colOff>9525</xdr:colOff>
      <xdr:row>29</xdr:row>
      <xdr:rowOff>409575</xdr:rowOff>
    </xdr:from>
    <xdr:to>
      <xdr:col>2</xdr:col>
      <xdr:colOff>228600</xdr:colOff>
      <xdr:row>29</xdr:row>
      <xdr:rowOff>657225</xdr:rowOff>
    </xdr:to>
    <xdr:sp macro="" textlink="">
      <xdr:nvSpPr>
        <xdr:cNvPr id="28" name="Round Diagonal Corner Rectangle 27">
          <a:hlinkClick xmlns:r="http://schemas.openxmlformats.org/officeDocument/2006/relationships" r:id="rId15"/>
          <a:extLst>
            <a:ext uri="{FF2B5EF4-FFF2-40B4-BE49-F238E27FC236}">
              <a16:creationId xmlns:a16="http://schemas.microsoft.com/office/drawing/2014/main" id="{00000000-0008-0000-0100-00001C000000}"/>
            </a:ext>
          </a:extLst>
        </xdr:cNvPr>
        <xdr:cNvSpPr/>
      </xdr:nvSpPr>
      <xdr:spPr>
        <a:xfrm>
          <a:off x="619125" y="5705475"/>
          <a:ext cx="828675" cy="247650"/>
        </a:xfrm>
        <a:prstGeom prst="round2Diag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ZA" sz="1050" b="1">
              <a:latin typeface="Century Gothic" panose="020B0502020202020204" pitchFamily="34" charset="0"/>
            </a:rPr>
            <a:t>DEC</a:t>
          </a:r>
        </a:p>
      </xdr:txBody>
    </xdr:sp>
    <xdr:clientData/>
  </xdr:twoCellAnchor>
  <xdr:twoCellAnchor>
    <xdr:from>
      <xdr:col>1</xdr:col>
      <xdr:colOff>9525</xdr:colOff>
      <xdr:row>29</xdr:row>
      <xdr:rowOff>714375</xdr:rowOff>
    </xdr:from>
    <xdr:to>
      <xdr:col>2</xdr:col>
      <xdr:colOff>228600</xdr:colOff>
      <xdr:row>30</xdr:row>
      <xdr:rowOff>142875</xdr:rowOff>
    </xdr:to>
    <xdr:sp macro="" textlink="">
      <xdr:nvSpPr>
        <xdr:cNvPr id="29" name="Round Diagonal Corner Rectangle 28">
          <a:hlinkClick xmlns:r="http://schemas.openxmlformats.org/officeDocument/2006/relationships" r:id="rId16"/>
          <a:extLst>
            <a:ext uri="{FF2B5EF4-FFF2-40B4-BE49-F238E27FC236}">
              <a16:creationId xmlns:a16="http://schemas.microsoft.com/office/drawing/2014/main" id="{00000000-0008-0000-0100-00001D000000}"/>
            </a:ext>
          </a:extLst>
        </xdr:cNvPr>
        <xdr:cNvSpPr/>
      </xdr:nvSpPr>
      <xdr:spPr>
        <a:xfrm>
          <a:off x="619125" y="6010275"/>
          <a:ext cx="828675" cy="247650"/>
        </a:xfrm>
        <a:prstGeom prst="round2Diag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en-ZA" sz="1050" b="1">
              <a:latin typeface="Century Gothic" panose="020B0502020202020204" pitchFamily="34" charset="0"/>
            </a:rPr>
            <a:t>YEARLY</a:t>
          </a:r>
        </a:p>
      </xdr:txBody>
    </xdr:sp>
    <xdr:clientData/>
  </xdr:twoCellAnchor>
  <xdr:twoCellAnchor>
    <xdr:from>
      <xdr:col>5</xdr:col>
      <xdr:colOff>209550</xdr:colOff>
      <xdr:row>9</xdr:row>
      <xdr:rowOff>47625</xdr:rowOff>
    </xdr:from>
    <xdr:to>
      <xdr:col>7</xdr:col>
      <xdr:colOff>409575</xdr:colOff>
      <xdr:row>11</xdr:row>
      <xdr:rowOff>152400</xdr:rowOff>
    </xdr:to>
    <xdr:sp macro="" textlink="">
      <xdr:nvSpPr>
        <xdr:cNvPr id="30" name="Round Diagonal Corner Rectangle 29">
          <a:hlinkClick xmlns:r="http://schemas.openxmlformats.org/officeDocument/2006/relationships" r:id="rId17"/>
          <a:extLst>
            <a:ext uri="{FF2B5EF4-FFF2-40B4-BE49-F238E27FC236}">
              <a16:creationId xmlns:a16="http://schemas.microsoft.com/office/drawing/2014/main" id="{00000000-0008-0000-0100-00001E000000}"/>
            </a:ext>
          </a:extLst>
        </xdr:cNvPr>
        <xdr:cNvSpPr/>
      </xdr:nvSpPr>
      <xdr:spPr>
        <a:xfrm>
          <a:off x="3257550" y="172402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8</xdr:col>
      <xdr:colOff>95250</xdr:colOff>
      <xdr:row>9</xdr:row>
      <xdr:rowOff>47625</xdr:rowOff>
    </xdr:from>
    <xdr:to>
      <xdr:col>11</xdr:col>
      <xdr:colOff>542925</xdr:colOff>
      <xdr:row>11</xdr:row>
      <xdr:rowOff>152400</xdr:rowOff>
    </xdr:to>
    <xdr:sp macro="" textlink="">
      <xdr:nvSpPr>
        <xdr:cNvPr id="31" name="Round Diagonal Corner Rectangle 30">
          <a:hlinkClick xmlns:r="http://schemas.openxmlformats.org/officeDocument/2006/relationships" r:id="rId18"/>
          <a:extLst>
            <a:ext uri="{FF2B5EF4-FFF2-40B4-BE49-F238E27FC236}">
              <a16:creationId xmlns:a16="http://schemas.microsoft.com/office/drawing/2014/main" id="{00000000-0008-0000-0100-00001F000000}"/>
            </a:ext>
          </a:extLst>
        </xdr:cNvPr>
        <xdr:cNvSpPr/>
      </xdr:nvSpPr>
      <xdr:spPr>
        <a:xfrm>
          <a:off x="4972050" y="1724025"/>
          <a:ext cx="2276475"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12</xdr:col>
      <xdr:colOff>209550</xdr:colOff>
      <xdr:row>9</xdr:row>
      <xdr:rowOff>28575</xdr:rowOff>
    </xdr:from>
    <xdr:to>
      <xdr:col>14</xdr:col>
      <xdr:colOff>409575</xdr:colOff>
      <xdr:row>11</xdr:row>
      <xdr:rowOff>133350</xdr:rowOff>
    </xdr:to>
    <xdr:sp macro="" textlink="">
      <xdr:nvSpPr>
        <xdr:cNvPr id="32" name="Round Diagonal Corner Rectangle 31">
          <a:hlinkClick xmlns:r="http://schemas.openxmlformats.org/officeDocument/2006/relationships" r:id="rId19"/>
          <a:extLst>
            <a:ext uri="{FF2B5EF4-FFF2-40B4-BE49-F238E27FC236}">
              <a16:creationId xmlns:a16="http://schemas.microsoft.com/office/drawing/2014/main" id="{00000000-0008-0000-0100-000020000000}"/>
            </a:ext>
          </a:extLst>
        </xdr:cNvPr>
        <xdr:cNvSpPr/>
      </xdr:nvSpPr>
      <xdr:spPr>
        <a:xfrm>
          <a:off x="7524750" y="170497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188419</xdr:colOff>
      <xdr:row>17</xdr:row>
      <xdr:rowOff>157669</xdr:rowOff>
    </xdr:from>
    <xdr:to>
      <xdr:col>2</xdr:col>
      <xdr:colOff>534367</xdr:colOff>
      <xdr:row>20</xdr:row>
      <xdr:rowOff>4589</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2331544"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B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B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B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1507436</xdr:colOff>
      <xdr:row>19</xdr:row>
      <xdr:rowOff>199246</xdr:rowOff>
    </xdr:from>
    <xdr:to>
      <xdr:col>2</xdr:col>
      <xdr:colOff>676275</xdr:colOff>
      <xdr:row>21</xdr:row>
      <xdr:rowOff>153745</xdr:rowOff>
    </xdr:to>
    <xdr:sp macro="" textlink="$Y$49">
      <xdr:nvSpPr>
        <xdr:cNvPr id="11" name="Rounded Rectangle 10">
          <a:extLst>
            <a:ext uri="{FF2B5EF4-FFF2-40B4-BE49-F238E27FC236}">
              <a16:creationId xmlns:a16="http://schemas.microsoft.com/office/drawing/2014/main" id="{00000000-0008-0000-0B00-00000B000000}"/>
            </a:ext>
          </a:extLst>
        </xdr:cNvPr>
        <xdr:cNvSpPr/>
      </xdr:nvSpPr>
      <xdr:spPr>
        <a:xfrm>
          <a:off x="2117036"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1369238</xdr:colOff>
      <xdr:row>22</xdr:row>
      <xdr:rowOff>38308</xdr:rowOff>
    </xdr:from>
    <xdr:to>
      <xdr:col>2</xdr:col>
      <xdr:colOff>807104</xdr:colOff>
      <xdr:row>23</xdr:row>
      <xdr:rowOff>39424</xdr:rowOff>
    </xdr:to>
    <xdr:sp macro="" textlink="">
      <xdr:nvSpPr>
        <xdr:cNvPr id="12" name="TextBox 11">
          <a:extLst>
            <a:ext uri="{FF2B5EF4-FFF2-40B4-BE49-F238E27FC236}">
              <a16:creationId xmlns:a16="http://schemas.microsoft.com/office/drawing/2014/main" id="{00000000-0008-0000-0B00-00000C000000}"/>
            </a:ext>
          </a:extLst>
        </xdr:cNvPr>
        <xdr:cNvSpPr txBox="1"/>
      </xdr:nvSpPr>
      <xdr:spPr>
        <a:xfrm>
          <a:off x="197883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952501</xdr:colOff>
      <xdr:row>15</xdr:row>
      <xdr:rowOff>47625</xdr:rowOff>
    </xdr:from>
    <xdr:to>
      <xdr:col>3</xdr:col>
      <xdr:colOff>481097</xdr:colOff>
      <xdr:row>21</xdr:row>
      <xdr:rowOff>143927</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1562101" y="3048000"/>
          <a:ext cx="1909846" cy="1296452"/>
          <a:chOff x="2609850" y="3810000"/>
          <a:chExt cx="1812036" cy="1391702"/>
        </a:xfrm>
      </xdr:grpSpPr>
      <xdr:sp macro="" textlink="">
        <xdr:nvSpPr>
          <xdr:cNvPr id="26" name="TextBox 25">
            <a:extLst>
              <a:ext uri="{FF2B5EF4-FFF2-40B4-BE49-F238E27FC236}">
                <a16:creationId xmlns:a16="http://schemas.microsoft.com/office/drawing/2014/main" id="{00000000-0008-0000-0B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B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B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B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B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B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B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B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B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B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B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B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B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B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B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B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B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B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B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B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B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B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B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B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B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B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B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B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B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B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B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B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B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B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B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Oct">
      <xdr:nvSpPr>
        <xdr:cNvPr id="105" name="Rounded Rectangle 104">
          <a:extLst>
            <a:ext uri="{FF2B5EF4-FFF2-40B4-BE49-F238E27FC236}">
              <a16:creationId xmlns:a16="http://schemas.microsoft.com/office/drawing/2014/main" id="{00000000-0008-0000-0B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082F8A1F-4DEA-4D60-BA7E-D7F35273BB5C}"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B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B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B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B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B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B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B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B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600075</xdr:colOff>
      <xdr:row>12</xdr:row>
      <xdr:rowOff>133350</xdr:rowOff>
    </xdr:from>
    <xdr:to>
      <xdr:col>3</xdr:col>
      <xdr:colOff>757620</xdr:colOff>
      <xdr:row>25</xdr:row>
      <xdr:rowOff>38101</xdr:rowOff>
    </xdr:to>
    <xdr:grpSp>
      <xdr:nvGrpSpPr>
        <xdr:cNvPr id="114" name="Group 113">
          <a:extLst>
            <a:ext uri="{FF2B5EF4-FFF2-40B4-BE49-F238E27FC236}">
              <a16:creationId xmlns:a16="http://schemas.microsoft.com/office/drawing/2014/main" id="{00000000-0008-0000-0B00-000072000000}"/>
            </a:ext>
          </a:extLst>
        </xdr:cNvPr>
        <xdr:cNvGrpSpPr/>
      </xdr:nvGrpSpPr>
      <xdr:grpSpPr>
        <a:xfrm>
          <a:off x="1209675" y="253365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B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B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B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B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B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B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B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B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B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B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B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B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B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B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B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B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B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B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B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B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B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B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B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B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B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B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B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B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B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B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B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B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B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B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B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B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B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B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B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B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B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B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B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B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B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B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B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B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B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B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B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B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B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B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B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B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22.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140794</xdr:colOff>
      <xdr:row>17</xdr:row>
      <xdr:rowOff>157669</xdr:rowOff>
    </xdr:from>
    <xdr:to>
      <xdr:col>2</xdr:col>
      <xdr:colOff>486742</xdr:colOff>
      <xdr:row>20</xdr:row>
      <xdr:rowOff>4589</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2283919"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C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C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C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1459811</xdr:colOff>
      <xdr:row>19</xdr:row>
      <xdr:rowOff>199246</xdr:rowOff>
    </xdr:from>
    <xdr:to>
      <xdr:col>2</xdr:col>
      <xdr:colOff>628650</xdr:colOff>
      <xdr:row>21</xdr:row>
      <xdr:rowOff>153745</xdr:rowOff>
    </xdr:to>
    <xdr:sp macro="" textlink="$Y$49">
      <xdr:nvSpPr>
        <xdr:cNvPr id="11" name="Rounded Rectangle 10">
          <a:extLst>
            <a:ext uri="{FF2B5EF4-FFF2-40B4-BE49-F238E27FC236}">
              <a16:creationId xmlns:a16="http://schemas.microsoft.com/office/drawing/2014/main" id="{00000000-0008-0000-0C00-00000B000000}"/>
            </a:ext>
          </a:extLst>
        </xdr:cNvPr>
        <xdr:cNvSpPr/>
      </xdr:nvSpPr>
      <xdr:spPr>
        <a:xfrm>
          <a:off x="2069411"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1350188</xdr:colOff>
      <xdr:row>22</xdr:row>
      <xdr:rowOff>38308</xdr:rowOff>
    </xdr:from>
    <xdr:to>
      <xdr:col>2</xdr:col>
      <xdr:colOff>788054</xdr:colOff>
      <xdr:row>23</xdr:row>
      <xdr:rowOff>39424</xdr:rowOff>
    </xdr:to>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195978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1019176</xdr:colOff>
      <xdr:row>15</xdr:row>
      <xdr:rowOff>28574</xdr:rowOff>
    </xdr:from>
    <xdr:to>
      <xdr:col>3</xdr:col>
      <xdr:colOff>352426</xdr:colOff>
      <xdr:row>21</xdr:row>
      <xdr:rowOff>115351</xdr:rowOff>
    </xdr:to>
    <xdr:grpSp>
      <xdr:nvGrpSpPr>
        <xdr:cNvPr id="25" name="Group 24">
          <a:extLst>
            <a:ext uri="{FF2B5EF4-FFF2-40B4-BE49-F238E27FC236}">
              <a16:creationId xmlns:a16="http://schemas.microsoft.com/office/drawing/2014/main" id="{00000000-0008-0000-0C00-000019000000}"/>
            </a:ext>
          </a:extLst>
        </xdr:cNvPr>
        <xdr:cNvGrpSpPr/>
      </xdr:nvGrpSpPr>
      <xdr:grpSpPr>
        <a:xfrm>
          <a:off x="1628776" y="3028949"/>
          <a:ext cx="1714500" cy="1286927"/>
          <a:chOff x="2609850" y="3810000"/>
          <a:chExt cx="1812036" cy="1391702"/>
        </a:xfrm>
      </xdr:grpSpPr>
      <xdr:sp macro="" textlink="">
        <xdr:nvSpPr>
          <xdr:cNvPr id="26" name="TextBox 25">
            <a:extLst>
              <a:ext uri="{FF2B5EF4-FFF2-40B4-BE49-F238E27FC236}">
                <a16:creationId xmlns:a16="http://schemas.microsoft.com/office/drawing/2014/main" id="{00000000-0008-0000-0C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C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C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C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C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C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C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C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C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C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C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C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C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C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C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C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C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C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C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C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C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C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C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C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C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C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C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C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C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C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C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C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C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C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C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Nov">
      <xdr:nvSpPr>
        <xdr:cNvPr id="105" name="Rounded Rectangle 104">
          <a:extLst>
            <a:ext uri="{FF2B5EF4-FFF2-40B4-BE49-F238E27FC236}">
              <a16:creationId xmlns:a16="http://schemas.microsoft.com/office/drawing/2014/main" id="{00000000-0008-0000-0C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B3F36B64-53CD-4C52-BA52-6314F4D3D59B}"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C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C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C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C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C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C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C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C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609600</xdr:colOff>
      <xdr:row>12</xdr:row>
      <xdr:rowOff>123825</xdr:rowOff>
    </xdr:from>
    <xdr:to>
      <xdr:col>3</xdr:col>
      <xdr:colOff>767145</xdr:colOff>
      <xdr:row>25</xdr:row>
      <xdr:rowOff>28576</xdr:rowOff>
    </xdr:to>
    <xdr:grpSp>
      <xdr:nvGrpSpPr>
        <xdr:cNvPr id="114" name="Group 113">
          <a:extLst>
            <a:ext uri="{FF2B5EF4-FFF2-40B4-BE49-F238E27FC236}">
              <a16:creationId xmlns:a16="http://schemas.microsoft.com/office/drawing/2014/main" id="{00000000-0008-0000-0C00-000072000000}"/>
            </a:ext>
          </a:extLst>
        </xdr:cNvPr>
        <xdr:cNvGrpSpPr/>
      </xdr:nvGrpSpPr>
      <xdr:grpSpPr>
        <a:xfrm>
          <a:off x="1219200" y="2524125"/>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C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C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C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C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C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C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C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C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C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C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C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C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C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C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C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C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C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C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C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C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C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C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C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C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C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C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C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C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C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C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C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C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C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C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C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C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C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C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C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C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C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C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C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C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C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C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C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C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C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C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C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C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C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C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C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C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24.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178894</xdr:colOff>
      <xdr:row>17</xdr:row>
      <xdr:rowOff>157669</xdr:rowOff>
    </xdr:from>
    <xdr:to>
      <xdr:col>2</xdr:col>
      <xdr:colOff>524842</xdr:colOff>
      <xdr:row>20</xdr:row>
      <xdr:rowOff>4589</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2322019"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D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D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D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1497911</xdr:colOff>
      <xdr:row>19</xdr:row>
      <xdr:rowOff>199246</xdr:rowOff>
    </xdr:from>
    <xdr:to>
      <xdr:col>2</xdr:col>
      <xdr:colOff>666750</xdr:colOff>
      <xdr:row>21</xdr:row>
      <xdr:rowOff>153745</xdr:rowOff>
    </xdr:to>
    <xdr:sp macro="" textlink="$Y$49">
      <xdr:nvSpPr>
        <xdr:cNvPr id="11" name="Rounded Rectangle 10">
          <a:extLst>
            <a:ext uri="{FF2B5EF4-FFF2-40B4-BE49-F238E27FC236}">
              <a16:creationId xmlns:a16="http://schemas.microsoft.com/office/drawing/2014/main" id="{00000000-0008-0000-0D00-00000B000000}"/>
            </a:ext>
          </a:extLst>
        </xdr:cNvPr>
        <xdr:cNvSpPr/>
      </xdr:nvSpPr>
      <xdr:spPr>
        <a:xfrm>
          <a:off x="2107511"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1388288</xdr:colOff>
      <xdr:row>22</xdr:row>
      <xdr:rowOff>38308</xdr:rowOff>
    </xdr:from>
    <xdr:to>
      <xdr:col>2</xdr:col>
      <xdr:colOff>826154</xdr:colOff>
      <xdr:row>23</xdr:row>
      <xdr:rowOff>39424</xdr:rowOff>
    </xdr:to>
    <xdr:sp macro="" textlink="">
      <xdr:nvSpPr>
        <xdr:cNvPr id="12" name="TextBox 11">
          <a:extLst>
            <a:ext uri="{FF2B5EF4-FFF2-40B4-BE49-F238E27FC236}">
              <a16:creationId xmlns:a16="http://schemas.microsoft.com/office/drawing/2014/main" id="{00000000-0008-0000-0D00-00000C000000}"/>
            </a:ext>
          </a:extLst>
        </xdr:cNvPr>
        <xdr:cNvSpPr txBox="1"/>
      </xdr:nvSpPr>
      <xdr:spPr>
        <a:xfrm>
          <a:off x="199788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991012</xdr:colOff>
      <xdr:row>15</xdr:row>
      <xdr:rowOff>76199</xdr:rowOff>
    </xdr:from>
    <xdr:to>
      <xdr:col>3</xdr:col>
      <xdr:colOff>421386</xdr:colOff>
      <xdr:row>21</xdr:row>
      <xdr:rowOff>105826</xdr:rowOff>
    </xdr:to>
    <xdr:grpSp>
      <xdr:nvGrpSpPr>
        <xdr:cNvPr id="25" name="Group 24">
          <a:extLst>
            <a:ext uri="{FF2B5EF4-FFF2-40B4-BE49-F238E27FC236}">
              <a16:creationId xmlns:a16="http://schemas.microsoft.com/office/drawing/2014/main" id="{00000000-0008-0000-0D00-000019000000}"/>
            </a:ext>
          </a:extLst>
        </xdr:cNvPr>
        <xdr:cNvGrpSpPr/>
      </xdr:nvGrpSpPr>
      <xdr:grpSpPr>
        <a:xfrm>
          <a:off x="1600612" y="3076574"/>
          <a:ext cx="1811624" cy="1229777"/>
          <a:chOff x="2609850" y="3810000"/>
          <a:chExt cx="1812036" cy="1391702"/>
        </a:xfrm>
      </xdr:grpSpPr>
      <xdr:sp macro="" textlink="">
        <xdr:nvSpPr>
          <xdr:cNvPr id="26" name="TextBox 25">
            <a:extLst>
              <a:ext uri="{FF2B5EF4-FFF2-40B4-BE49-F238E27FC236}">
                <a16:creationId xmlns:a16="http://schemas.microsoft.com/office/drawing/2014/main" id="{00000000-0008-0000-0D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D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D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D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D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D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D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D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D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D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D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D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D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D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D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D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D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D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D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D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D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D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D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D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D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D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D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D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D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D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D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D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D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D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D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Dec">
      <xdr:nvSpPr>
        <xdr:cNvPr id="105" name="Rounded Rectangle 104">
          <a:extLst>
            <a:ext uri="{FF2B5EF4-FFF2-40B4-BE49-F238E27FC236}">
              <a16:creationId xmlns:a16="http://schemas.microsoft.com/office/drawing/2014/main" id="{00000000-0008-0000-0D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D19D3D85-91DE-433E-A100-DEC09C1AAADC}"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D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D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D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D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D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D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D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D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600075</xdr:colOff>
      <xdr:row>12</xdr:row>
      <xdr:rowOff>133350</xdr:rowOff>
    </xdr:from>
    <xdr:to>
      <xdr:col>3</xdr:col>
      <xdr:colOff>757620</xdr:colOff>
      <xdr:row>25</xdr:row>
      <xdr:rowOff>38101</xdr:rowOff>
    </xdr:to>
    <xdr:grpSp>
      <xdr:nvGrpSpPr>
        <xdr:cNvPr id="171" name="Group 170">
          <a:extLst>
            <a:ext uri="{FF2B5EF4-FFF2-40B4-BE49-F238E27FC236}">
              <a16:creationId xmlns:a16="http://schemas.microsoft.com/office/drawing/2014/main" id="{00000000-0008-0000-0D00-0000AB000000}"/>
            </a:ext>
          </a:extLst>
        </xdr:cNvPr>
        <xdr:cNvGrpSpPr/>
      </xdr:nvGrpSpPr>
      <xdr:grpSpPr>
        <a:xfrm>
          <a:off x="1209675" y="2533650"/>
          <a:ext cx="2538795" cy="2514601"/>
          <a:chOff x="1227260" y="2516799"/>
          <a:chExt cx="2538795" cy="2491155"/>
        </a:xfrm>
      </xdr:grpSpPr>
      <xdr:grpSp>
        <xdr:nvGrpSpPr>
          <xdr:cNvPr id="172" name="Group 171">
            <a:extLst>
              <a:ext uri="{FF2B5EF4-FFF2-40B4-BE49-F238E27FC236}">
                <a16:creationId xmlns:a16="http://schemas.microsoft.com/office/drawing/2014/main" id="{00000000-0008-0000-0D00-0000AC000000}"/>
              </a:ext>
            </a:extLst>
          </xdr:cNvPr>
          <xdr:cNvGrpSpPr/>
        </xdr:nvGrpSpPr>
        <xdr:grpSpPr>
          <a:xfrm>
            <a:off x="1274885" y="2602889"/>
            <a:ext cx="2342024" cy="1806453"/>
            <a:chOff x="1274885" y="2602889"/>
            <a:chExt cx="2342024" cy="1806453"/>
          </a:xfrm>
        </xdr:grpSpPr>
        <xdr:cxnSp macro="">
          <xdr:nvCxnSpPr>
            <xdr:cNvPr id="197" name="Straight Connector 196">
              <a:extLst>
                <a:ext uri="{FF2B5EF4-FFF2-40B4-BE49-F238E27FC236}">
                  <a16:creationId xmlns:a16="http://schemas.microsoft.com/office/drawing/2014/main" id="{00000000-0008-0000-0D00-0000C5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98" name="Straight Connector 197">
              <a:extLst>
                <a:ext uri="{FF2B5EF4-FFF2-40B4-BE49-F238E27FC236}">
                  <a16:creationId xmlns:a16="http://schemas.microsoft.com/office/drawing/2014/main" id="{00000000-0008-0000-0D00-0000C6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99" name="Straight Connector 198">
              <a:extLst>
                <a:ext uri="{FF2B5EF4-FFF2-40B4-BE49-F238E27FC236}">
                  <a16:creationId xmlns:a16="http://schemas.microsoft.com/office/drawing/2014/main" id="{00000000-0008-0000-0D00-0000C7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0" name="Straight Connector 199">
              <a:extLst>
                <a:ext uri="{FF2B5EF4-FFF2-40B4-BE49-F238E27FC236}">
                  <a16:creationId xmlns:a16="http://schemas.microsoft.com/office/drawing/2014/main" id="{00000000-0008-0000-0D00-0000C8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1" name="Straight Connector 200">
              <a:extLst>
                <a:ext uri="{FF2B5EF4-FFF2-40B4-BE49-F238E27FC236}">
                  <a16:creationId xmlns:a16="http://schemas.microsoft.com/office/drawing/2014/main" id="{00000000-0008-0000-0D00-0000C9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2" name="Straight Connector 201">
              <a:extLst>
                <a:ext uri="{FF2B5EF4-FFF2-40B4-BE49-F238E27FC236}">
                  <a16:creationId xmlns:a16="http://schemas.microsoft.com/office/drawing/2014/main" id="{00000000-0008-0000-0D00-0000CA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3" name="Straight Connector 202">
              <a:extLst>
                <a:ext uri="{FF2B5EF4-FFF2-40B4-BE49-F238E27FC236}">
                  <a16:creationId xmlns:a16="http://schemas.microsoft.com/office/drawing/2014/main" id="{00000000-0008-0000-0D00-0000CB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4" name="Straight Connector 203">
              <a:extLst>
                <a:ext uri="{FF2B5EF4-FFF2-40B4-BE49-F238E27FC236}">
                  <a16:creationId xmlns:a16="http://schemas.microsoft.com/office/drawing/2014/main" id="{00000000-0008-0000-0D00-0000CC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5" name="Straight Connector 204">
              <a:extLst>
                <a:ext uri="{FF2B5EF4-FFF2-40B4-BE49-F238E27FC236}">
                  <a16:creationId xmlns:a16="http://schemas.microsoft.com/office/drawing/2014/main" id="{00000000-0008-0000-0D00-0000CD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6" name="Straight Connector 205">
              <a:extLst>
                <a:ext uri="{FF2B5EF4-FFF2-40B4-BE49-F238E27FC236}">
                  <a16:creationId xmlns:a16="http://schemas.microsoft.com/office/drawing/2014/main" id="{00000000-0008-0000-0D00-0000CE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7" name="Straight Connector 206">
              <a:extLst>
                <a:ext uri="{FF2B5EF4-FFF2-40B4-BE49-F238E27FC236}">
                  <a16:creationId xmlns:a16="http://schemas.microsoft.com/office/drawing/2014/main" id="{00000000-0008-0000-0D00-0000CF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8" name="Straight Connector 207">
              <a:extLst>
                <a:ext uri="{FF2B5EF4-FFF2-40B4-BE49-F238E27FC236}">
                  <a16:creationId xmlns:a16="http://schemas.microsoft.com/office/drawing/2014/main" id="{00000000-0008-0000-0D00-0000D0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09" name="Straight Connector 208">
              <a:extLst>
                <a:ext uri="{FF2B5EF4-FFF2-40B4-BE49-F238E27FC236}">
                  <a16:creationId xmlns:a16="http://schemas.microsoft.com/office/drawing/2014/main" id="{00000000-0008-0000-0D00-0000D1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0" name="Straight Connector 209">
              <a:extLst>
                <a:ext uri="{FF2B5EF4-FFF2-40B4-BE49-F238E27FC236}">
                  <a16:creationId xmlns:a16="http://schemas.microsoft.com/office/drawing/2014/main" id="{00000000-0008-0000-0D00-0000D2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1" name="Straight Connector 210">
              <a:extLst>
                <a:ext uri="{FF2B5EF4-FFF2-40B4-BE49-F238E27FC236}">
                  <a16:creationId xmlns:a16="http://schemas.microsoft.com/office/drawing/2014/main" id="{00000000-0008-0000-0D00-0000D3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2" name="Straight Connector 211">
              <a:extLst>
                <a:ext uri="{FF2B5EF4-FFF2-40B4-BE49-F238E27FC236}">
                  <a16:creationId xmlns:a16="http://schemas.microsoft.com/office/drawing/2014/main" id="{00000000-0008-0000-0D00-0000D4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3" name="Straight Connector 212">
              <a:extLst>
                <a:ext uri="{FF2B5EF4-FFF2-40B4-BE49-F238E27FC236}">
                  <a16:creationId xmlns:a16="http://schemas.microsoft.com/office/drawing/2014/main" id="{00000000-0008-0000-0D00-0000D5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4" name="Straight Connector 213">
              <a:extLst>
                <a:ext uri="{FF2B5EF4-FFF2-40B4-BE49-F238E27FC236}">
                  <a16:creationId xmlns:a16="http://schemas.microsoft.com/office/drawing/2014/main" id="{00000000-0008-0000-0D00-0000D6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5" name="Straight Connector 214">
              <a:extLst>
                <a:ext uri="{FF2B5EF4-FFF2-40B4-BE49-F238E27FC236}">
                  <a16:creationId xmlns:a16="http://schemas.microsoft.com/office/drawing/2014/main" id="{00000000-0008-0000-0D00-0000D7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6" name="Straight Connector 215">
              <a:extLst>
                <a:ext uri="{FF2B5EF4-FFF2-40B4-BE49-F238E27FC236}">
                  <a16:creationId xmlns:a16="http://schemas.microsoft.com/office/drawing/2014/main" id="{00000000-0008-0000-0D00-0000D8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7" name="Straight Connector 216">
              <a:extLst>
                <a:ext uri="{FF2B5EF4-FFF2-40B4-BE49-F238E27FC236}">
                  <a16:creationId xmlns:a16="http://schemas.microsoft.com/office/drawing/2014/main" id="{00000000-0008-0000-0D00-0000D9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8" name="Straight Connector 217">
              <a:extLst>
                <a:ext uri="{FF2B5EF4-FFF2-40B4-BE49-F238E27FC236}">
                  <a16:creationId xmlns:a16="http://schemas.microsoft.com/office/drawing/2014/main" id="{00000000-0008-0000-0D00-0000DA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9" name="Straight Connector 218">
              <a:extLst>
                <a:ext uri="{FF2B5EF4-FFF2-40B4-BE49-F238E27FC236}">
                  <a16:creationId xmlns:a16="http://schemas.microsoft.com/office/drawing/2014/main" id="{00000000-0008-0000-0D00-0000DB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0" name="Straight Connector 219">
              <a:extLst>
                <a:ext uri="{FF2B5EF4-FFF2-40B4-BE49-F238E27FC236}">
                  <a16:creationId xmlns:a16="http://schemas.microsoft.com/office/drawing/2014/main" id="{00000000-0008-0000-0D00-0000DC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1" name="Straight Connector 220">
              <a:extLst>
                <a:ext uri="{FF2B5EF4-FFF2-40B4-BE49-F238E27FC236}">
                  <a16:creationId xmlns:a16="http://schemas.microsoft.com/office/drawing/2014/main" id="{00000000-0008-0000-0D00-0000DD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2" name="Straight Connector 221">
              <a:extLst>
                <a:ext uri="{FF2B5EF4-FFF2-40B4-BE49-F238E27FC236}">
                  <a16:creationId xmlns:a16="http://schemas.microsoft.com/office/drawing/2014/main" id="{00000000-0008-0000-0D00-0000DE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3" name="Straight Connector 222">
              <a:extLst>
                <a:ext uri="{FF2B5EF4-FFF2-40B4-BE49-F238E27FC236}">
                  <a16:creationId xmlns:a16="http://schemas.microsoft.com/office/drawing/2014/main" id="{00000000-0008-0000-0D00-0000DF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4" name="Straight Connector 223">
              <a:extLst>
                <a:ext uri="{FF2B5EF4-FFF2-40B4-BE49-F238E27FC236}">
                  <a16:creationId xmlns:a16="http://schemas.microsoft.com/office/drawing/2014/main" id="{00000000-0008-0000-0D00-0000E0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5" name="Straight Connector 224">
              <a:extLst>
                <a:ext uri="{FF2B5EF4-FFF2-40B4-BE49-F238E27FC236}">
                  <a16:creationId xmlns:a16="http://schemas.microsoft.com/office/drawing/2014/main" id="{00000000-0008-0000-0D00-0000E1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6" name="Straight Connector 225">
              <a:extLst>
                <a:ext uri="{FF2B5EF4-FFF2-40B4-BE49-F238E27FC236}">
                  <a16:creationId xmlns:a16="http://schemas.microsoft.com/office/drawing/2014/main" id="{00000000-0008-0000-0D00-0000E2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7" name="Straight Connector 226">
              <a:extLst>
                <a:ext uri="{FF2B5EF4-FFF2-40B4-BE49-F238E27FC236}">
                  <a16:creationId xmlns:a16="http://schemas.microsoft.com/office/drawing/2014/main" id="{00000000-0008-0000-0D00-0000E3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73" name="Group 172">
            <a:extLst>
              <a:ext uri="{FF2B5EF4-FFF2-40B4-BE49-F238E27FC236}">
                <a16:creationId xmlns:a16="http://schemas.microsoft.com/office/drawing/2014/main" id="{00000000-0008-0000-0D00-0000AD000000}"/>
              </a:ext>
            </a:extLst>
          </xdr:cNvPr>
          <xdr:cNvGrpSpPr/>
        </xdr:nvGrpSpPr>
        <xdr:grpSpPr>
          <a:xfrm>
            <a:off x="1227260" y="2516799"/>
            <a:ext cx="2538795" cy="2491155"/>
            <a:chOff x="897892" y="2571747"/>
            <a:chExt cx="2480258" cy="2505073"/>
          </a:xfrm>
        </xdr:grpSpPr>
        <xdr:grpSp>
          <xdr:nvGrpSpPr>
            <xdr:cNvPr id="174" name="Group 173">
              <a:extLst>
                <a:ext uri="{FF2B5EF4-FFF2-40B4-BE49-F238E27FC236}">
                  <a16:creationId xmlns:a16="http://schemas.microsoft.com/office/drawing/2014/main" id="{00000000-0008-0000-0D00-0000AE000000}"/>
                </a:ext>
              </a:extLst>
            </xdr:cNvPr>
            <xdr:cNvGrpSpPr/>
          </xdr:nvGrpSpPr>
          <xdr:grpSpPr>
            <a:xfrm>
              <a:off x="897892" y="2571747"/>
              <a:ext cx="2480258" cy="2505073"/>
              <a:chOff x="1583687" y="2314575"/>
              <a:chExt cx="2480254" cy="2505076"/>
            </a:xfrm>
          </xdr:grpSpPr>
          <xdr:sp macro="" textlink="">
            <xdr:nvSpPr>
              <xdr:cNvPr id="195" name="Oval 194">
                <a:extLst>
                  <a:ext uri="{FF2B5EF4-FFF2-40B4-BE49-F238E27FC236}">
                    <a16:creationId xmlns:a16="http://schemas.microsoft.com/office/drawing/2014/main" id="{00000000-0008-0000-0D00-0000C3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96" name="Oval 195">
                <a:extLst>
                  <a:ext uri="{FF2B5EF4-FFF2-40B4-BE49-F238E27FC236}">
                    <a16:creationId xmlns:a16="http://schemas.microsoft.com/office/drawing/2014/main" id="{00000000-0008-0000-0D00-0000C4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75" name="Straight Connector 174">
              <a:extLst>
                <a:ext uri="{FF2B5EF4-FFF2-40B4-BE49-F238E27FC236}">
                  <a16:creationId xmlns:a16="http://schemas.microsoft.com/office/drawing/2014/main" id="{00000000-0008-0000-0D00-0000AF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6" name="Straight Connector 175">
              <a:extLst>
                <a:ext uri="{FF2B5EF4-FFF2-40B4-BE49-F238E27FC236}">
                  <a16:creationId xmlns:a16="http://schemas.microsoft.com/office/drawing/2014/main" id="{00000000-0008-0000-0D00-0000B0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7" name="Straight Connector 176">
              <a:extLst>
                <a:ext uri="{FF2B5EF4-FFF2-40B4-BE49-F238E27FC236}">
                  <a16:creationId xmlns:a16="http://schemas.microsoft.com/office/drawing/2014/main" id="{00000000-0008-0000-0D00-0000B1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8" name="Straight Connector 177">
              <a:extLst>
                <a:ext uri="{FF2B5EF4-FFF2-40B4-BE49-F238E27FC236}">
                  <a16:creationId xmlns:a16="http://schemas.microsoft.com/office/drawing/2014/main" id="{00000000-0008-0000-0D00-0000B2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9" name="Straight Connector 178">
              <a:extLst>
                <a:ext uri="{FF2B5EF4-FFF2-40B4-BE49-F238E27FC236}">
                  <a16:creationId xmlns:a16="http://schemas.microsoft.com/office/drawing/2014/main" id="{00000000-0008-0000-0D00-0000B3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0" name="Straight Connector 179">
              <a:extLst>
                <a:ext uri="{FF2B5EF4-FFF2-40B4-BE49-F238E27FC236}">
                  <a16:creationId xmlns:a16="http://schemas.microsoft.com/office/drawing/2014/main" id="{00000000-0008-0000-0D00-0000B4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1" name="Straight Connector 180">
              <a:extLst>
                <a:ext uri="{FF2B5EF4-FFF2-40B4-BE49-F238E27FC236}">
                  <a16:creationId xmlns:a16="http://schemas.microsoft.com/office/drawing/2014/main" id="{00000000-0008-0000-0D00-0000B5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2" name="Straight Connector 181">
              <a:extLst>
                <a:ext uri="{FF2B5EF4-FFF2-40B4-BE49-F238E27FC236}">
                  <a16:creationId xmlns:a16="http://schemas.microsoft.com/office/drawing/2014/main" id="{00000000-0008-0000-0D00-0000B6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3" name="Straight Connector 182">
              <a:extLst>
                <a:ext uri="{FF2B5EF4-FFF2-40B4-BE49-F238E27FC236}">
                  <a16:creationId xmlns:a16="http://schemas.microsoft.com/office/drawing/2014/main" id="{00000000-0008-0000-0D00-0000B7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4" name="Straight Connector 183">
              <a:extLst>
                <a:ext uri="{FF2B5EF4-FFF2-40B4-BE49-F238E27FC236}">
                  <a16:creationId xmlns:a16="http://schemas.microsoft.com/office/drawing/2014/main" id="{00000000-0008-0000-0D00-0000B8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5" name="Straight Connector 184">
              <a:extLst>
                <a:ext uri="{FF2B5EF4-FFF2-40B4-BE49-F238E27FC236}">
                  <a16:creationId xmlns:a16="http://schemas.microsoft.com/office/drawing/2014/main" id="{00000000-0008-0000-0D00-0000B9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6" name="Straight Connector 185">
              <a:extLst>
                <a:ext uri="{FF2B5EF4-FFF2-40B4-BE49-F238E27FC236}">
                  <a16:creationId xmlns:a16="http://schemas.microsoft.com/office/drawing/2014/main" id="{00000000-0008-0000-0D00-0000BA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7" name="Straight Connector 186">
              <a:extLst>
                <a:ext uri="{FF2B5EF4-FFF2-40B4-BE49-F238E27FC236}">
                  <a16:creationId xmlns:a16="http://schemas.microsoft.com/office/drawing/2014/main" id="{00000000-0008-0000-0D00-0000BB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8" name="Straight Connector 187">
              <a:extLst>
                <a:ext uri="{FF2B5EF4-FFF2-40B4-BE49-F238E27FC236}">
                  <a16:creationId xmlns:a16="http://schemas.microsoft.com/office/drawing/2014/main" id="{00000000-0008-0000-0D00-0000BC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9" name="Straight Connector 188">
              <a:extLst>
                <a:ext uri="{FF2B5EF4-FFF2-40B4-BE49-F238E27FC236}">
                  <a16:creationId xmlns:a16="http://schemas.microsoft.com/office/drawing/2014/main" id="{00000000-0008-0000-0D00-0000BD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0" name="Straight Connector 189">
              <a:extLst>
                <a:ext uri="{FF2B5EF4-FFF2-40B4-BE49-F238E27FC236}">
                  <a16:creationId xmlns:a16="http://schemas.microsoft.com/office/drawing/2014/main" id="{00000000-0008-0000-0D00-0000BE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1" name="Straight Connector 190">
              <a:extLst>
                <a:ext uri="{FF2B5EF4-FFF2-40B4-BE49-F238E27FC236}">
                  <a16:creationId xmlns:a16="http://schemas.microsoft.com/office/drawing/2014/main" id="{00000000-0008-0000-0D00-0000BF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2" name="Straight Connector 191">
              <a:extLst>
                <a:ext uri="{FF2B5EF4-FFF2-40B4-BE49-F238E27FC236}">
                  <a16:creationId xmlns:a16="http://schemas.microsoft.com/office/drawing/2014/main" id="{00000000-0008-0000-0D00-0000C0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3" name="Straight Connector 192">
              <a:extLst>
                <a:ext uri="{FF2B5EF4-FFF2-40B4-BE49-F238E27FC236}">
                  <a16:creationId xmlns:a16="http://schemas.microsoft.com/office/drawing/2014/main" id="{00000000-0008-0000-0D00-0000C1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4" name="Straight Connector 193">
              <a:extLst>
                <a:ext uri="{FF2B5EF4-FFF2-40B4-BE49-F238E27FC236}">
                  <a16:creationId xmlns:a16="http://schemas.microsoft.com/office/drawing/2014/main" id="{00000000-0008-0000-0D00-0000C2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26.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27.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140794</xdr:colOff>
      <xdr:row>17</xdr:row>
      <xdr:rowOff>157669</xdr:rowOff>
    </xdr:from>
    <xdr:to>
      <xdr:col>2</xdr:col>
      <xdr:colOff>486742</xdr:colOff>
      <xdr:row>20</xdr:row>
      <xdr:rowOff>4589</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2283919"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E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E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E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1459811</xdr:colOff>
      <xdr:row>19</xdr:row>
      <xdr:rowOff>199246</xdr:rowOff>
    </xdr:from>
    <xdr:to>
      <xdr:col>2</xdr:col>
      <xdr:colOff>628650</xdr:colOff>
      <xdr:row>21</xdr:row>
      <xdr:rowOff>153745</xdr:rowOff>
    </xdr:to>
    <xdr:sp macro="" textlink="$Y$49">
      <xdr:nvSpPr>
        <xdr:cNvPr id="11" name="Rounded Rectangle 10">
          <a:extLst>
            <a:ext uri="{FF2B5EF4-FFF2-40B4-BE49-F238E27FC236}">
              <a16:creationId xmlns:a16="http://schemas.microsoft.com/office/drawing/2014/main" id="{00000000-0008-0000-0E00-00000B000000}"/>
            </a:ext>
          </a:extLst>
        </xdr:cNvPr>
        <xdr:cNvSpPr/>
      </xdr:nvSpPr>
      <xdr:spPr>
        <a:xfrm>
          <a:off x="2069411"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1350188</xdr:colOff>
      <xdr:row>22</xdr:row>
      <xdr:rowOff>38308</xdr:rowOff>
    </xdr:from>
    <xdr:to>
      <xdr:col>2</xdr:col>
      <xdr:colOff>788054</xdr:colOff>
      <xdr:row>23</xdr:row>
      <xdr:rowOff>39424</xdr:rowOff>
    </xdr:to>
    <xdr:sp macro="" textlink="">
      <xdr:nvSpPr>
        <xdr:cNvPr id="12" name="TextBox 11">
          <a:extLst>
            <a:ext uri="{FF2B5EF4-FFF2-40B4-BE49-F238E27FC236}">
              <a16:creationId xmlns:a16="http://schemas.microsoft.com/office/drawing/2014/main" id="{00000000-0008-0000-0E00-00000C000000}"/>
            </a:ext>
          </a:extLst>
        </xdr:cNvPr>
        <xdr:cNvSpPr txBox="1"/>
      </xdr:nvSpPr>
      <xdr:spPr>
        <a:xfrm>
          <a:off x="195978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962949</xdr:colOff>
      <xdr:row>15</xdr:row>
      <xdr:rowOff>95249</xdr:rowOff>
    </xdr:from>
    <xdr:to>
      <xdr:col>3</xdr:col>
      <xdr:colOff>421386</xdr:colOff>
      <xdr:row>21</xdr:row>
      <xdr:rowOff>143926</xdr:rowOff>
    </xdr:to>
    <xdr:grpSp>
      <xdr:nvGrpSpPr>
        <xdr:cNvPr id="25" name="Group 24">
          <a:extLst>
            <a:ext uri="{FF2B5EF4-FFF2-40B4-BE49-F238E27FC236}">
              <a16:creationId xmlns:a16="http://schemas.microsoft.com/office/drawing/2014/main" id="{00000000-0008-0000-0E00-000019000000}"/>
            </a:ext>
          </a:extLst>
        </xdr:cNvPr>
        <xdr:cNvGrpSpPr/>
      </xdr:nvGrpSpPr>
      <xdr:grpSpPr>
        <a:xfrm>
          <a:off x="1572549" y="3095624"/>
          <a:ext cx="1839687" cy="1248827"/>
          <a:chOff x="2609850" y="3810000"/>
          <a:chExt cx="1812036" cy="1391702"/>
        </a:xfrm>
      </xdr:grpSpPr>
      <xdr:sp macro="" textlink="">
        <xdr:nvSpPr>
          <xdr:cNvPr id="26" name="TextBox 25">
            <a:extLst>
              <a:ext uri="{FF2B5EF4-FFF2-40B4-BE49-F238E27FC236}">
                <a16:creationId xmlns:a16="http://schemas.microsoft.com/office/drawing/2014/main" id="{00000000-0008-0000-0E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E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E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E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E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E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E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E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E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E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E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E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E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E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812035" cy="257443"/>
    <xdr:sp macro="" textlink="">
      <xdr:nvSpPr>
        <xdr:cNvPr id="60" name="TextBox 59">
          <a:extLst>
            <a:ext uri="{FF2B5EF4-FFF2-40B4-BE49-F238E27FC236}">
              <a16:creationId xmlns:a16="http://schemas.microsoft.com/office/drawing/2014/main" id="{00000000-0008-0000-0E00-00003C000000}"/>
            </a:ext>
          </a:extLst>
        </xdr:cNvPr>
        <xdr:cNvSpPr txBox="1"/>
      </xdr:nvSpPr>
      <xdr:spPr>
        <a:xfrm>
          <a:off x="1304925" y="5381625"/>
          <a:ext cx="181203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year</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E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E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E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1916230" cy="257443"/>
    <xdr:sp macro="" textlink="">
      <xdr:nvSpPr>
        <xdr:cNvPr id="88" name="TextBox 87">
          <a:extLst>
            <a:ext uri="{FF2B5EF4-FFF2-40B4-BE49-F238E27FC236}">
              <a16:creationId xmlns:a16="http://schemas.microsoft.com/office/drawing/2014/main" id="{00000000-0008-0000-0E00-000058000000}"/>
            </a:ext>
          </a:extLst>
        </xdr:cNvPr>
        <xdr:cNvSpPr txBox="1"/>
      </xdr:nvSpPr>
      <xdr:spPr>
        <a:xfrm>
          <a:off x="5200650" y="5343525"/>
          <a:ext cx="1916230"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year</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E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E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E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E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805751" cy="257443"/>
    <xdr:sp macro="" textlink="">
      <xdr:nvSpPr>
        <xdr:cNvPr id="93" name="TextBox 92">
          <a:extLst>
            <a:ext uri="{FF2B5EF4-FFF2-40B4-BE49-F238E27FC236}">
              <a16:creationId xmlns:a16="http://schemas.microsoft.com/office/drawing/2014/main" id="{00000000-0008-0000-0E00-00005D000000}"/>
            </a:ext>
          </a:extLst>
        </xdr:cNvPr>
        <xdr:cNvSpPr txBox="1"/>
      </xdr:nvSpPr>
      <xdr:spPr>
        <a:xfrm>
          <a:off x="8810625" y="5314950"/>
          <a:ext cx="1805751"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year</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E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E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E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E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E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E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E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E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590551</xdr:colOff>
      <xdr:row>22</xdr:row>
      <xdr:rowOff>180975</xdr:rowOff>
    </xdr:from>
    <xdr:to>
      <xdr:col>16</xdr:col>
      <xdr:colOff>542926</xdr:colOff>
      <xdr:row>33</xdr:row>
      <xdr:rowOff>180975</xdr:rowOff>
    </xdr:to>
    <xdr:grpSp>
      <xdr:nvGrpSpPr>
        <xdr:cNvPr id="102" name="Group 101">
          <a:extLst>
            <a:ext uri="{FF2B5EF4-FFF2-40B4-BE49-F238E27FC236}">
              <a16:creationId xmlns:a16="http://schemas.microsoft.com/office/drawing/2014/main" id="{00000000-0008-0000-0E00-000066000000}"/>
            </a:ext>
          </a:extLst>
        </xdr:cNvPr>
        <xdr:cNvGrpSpPr/>
      </xdr:nvGrpSpPr>
      <xdr:grpSpPr>
        <a:xfrm>
          <a:off x="13401676"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E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E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YEARLY">
      <xdr:nvSpPr>
        <xdr:cNvPr id="105" name="Rounded Rectangle 104">
          <a:extLst>
            <a:ext uri="{FF2B5EF4-FFF2-40B4-BE49-F238E27FC236}">
              <a16:creationId xmlns:a16="http://schemas.microsoft.com/office/drawing/2014/main" id="{00000000-0008-0000-0E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02DF808C-4088-4D93-9DBB-A3F390492D5E}" type="TxLink">
            <a:rPr lang="en-US" sz="1200" b="1" i="0" u="none" strike="noStrike">
              <a:solidFill>
                <a:srgbClr val="FF0000"/>
              </a:solidFill>
              <a:latin typeface="Century Gothic"/>
            </a:rPr>
            <a:pPr algn="ctr"/>
            <a:t> R -400,00 </a:t>
          </a:fld>
          <a:endParaRPr lang="en-US" sz="20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E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E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E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E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E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E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E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E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609600</xdr:colOff>
      <xdr:row>12</xdr:row>
      <xdr:rowOff>123825</xdr:rowOff>
    </xdr:from>
    <xdr:to>
      <xdr:col>3</xdr:col>
      <xdr:colOff>767145</xdr:colOff>
      <xdr:row>25</xdr:row>
      <xdr:rowOff>28576</xdr:rowOff>
    </xdr:to>
    <xdr:grpSp>
      <xdr:nvGrpSpPr>
        <xdr:cNvPr id="171" name="Group 170">
          <a:extLst>
            <a:ext uri="{FF2B5EF4-FFF2-40B4-BE49-F238E27FC236}">
              <a16:creationId xmlns:a16="http://schemas.microsoft.com/office/drawing/2014/main" id="{00000000-0008-0000-0E00-0000AB000000}"/>
            </a:ext>
          </a:extLst>
        </xdr:cNvPr>
        <xdr:cNvGrpSpPr/>
      </xdr:nvGrpSpPr>
      <xdr:grpSpPr>
        <a:xfrm>
          <a:off x="1219200" y="2524125"/>
          <a:ext cx="2538795" cy="2514601"/>
          <a:chOff x="1227260" y="2516799"/>
          <a:chExt cx="2538795" cy="2491155"/>
        </a:xfrm>
      </xdr:grpSpPr>
      <xdr:grpSp>
        <xdr:nvGrpSpPr>
          <xdr:cNvPr id="172" name="Group 171">
            <a:extLst>
              <a:ext uri="{FF2B5EF4-FFF2-40B4-BE49-F238E27FC236}">
                <a16:creationId xmlns:a16="http://schemas.microsoft.com/office/drawing/2014/main" id="{00000000-0008-0000-0E00-0000AC000000}"/>
              </a:ext>
            </a:extLst>
          </xdr:cNvPr>
          <xdr:cNvGrpSpPr/>
        </xdr:nvGrpSpPr>
        <xdr:grpSpPr>
          <a:xfrm>
            <a:off x="1274885" y="2602889"/>
            <a:ext cx="2342024" cy="1806453"/>
            <a:chOff x="1274885" y="2602889"/>
            <a:chExt cx="2342024" cy="1806453"/>
          </a:xfrm>
        </xdr:grpSpPr>
        <xdr:cxnSp macro="">
          <xdr:nvCxnSpPr>
            <xdr:cNvPr id="197" name="Straight Connector 196">
              <a:extLst>
                <a:ext uri="{FF2B5EF4-FFF2-40B4-BE49-F238E27FC236}">
                  <a16:creationId xmlns:a16="http://schemas.microsoft.com/office/drawing/2014/main" id="{00000000-0008-0000-0E00-0000C5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98" name="Straight Connector 197">
              <a:extLst>
                <a:ext uri="{FF2B5EF4-FFF2-40B4-BE49-F238E27FC236}">
                  <a16:creationId xmlns:a16="http://schemas.microsoft.com/office/drawing/2014/main" id="{00000000-0008-0000-0E00-0000C6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99" name="Straight Connector 198">
              <a:extLst>
                <a:ext uri="{FF2B5EF4-FFF2-40B4-BE49-F238E27FC236}">
                  <a16:creationId xmlns:a16="http://schemas.microsoft.com/office/drawing/2014/main" id="{00000000-0008-0000-0E00-0000C7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0" name="Straight Connector 199">
              <a:extLst>
                <a:ext uri="{FF2B5EF4-FFF2-40B4-BE49-F238E27FC236}">
                  <a16:creationId xmlns:a16="http://schemas.microsoft.com/office/drawing/2014/main" id="{00000000-0008-0000-0E00-0000C8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1" name="Straight Connector 200">
              <a:extLst>
                <a:ext uri="{FF2B5EF4-FFF2-40B4-BE49-F238E27FC236}">
                  <a16:creationId xmlns:a16="http://schemas.microsoft.com/office/drawing/2014/main" id="{00000000-0008-0000-0E00-0000C9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2" name="Straight Connector 201">
              <a:extLst>
                <a:ext uri="{FF2B5EF4-FFF2-40B4-BE49-F238E27FC236}">
                  <a16:creationId xmlns:a16="http://schemas.microsoft.com/office/drawing/2014/main" id="{00000000-0008-0000-0E00-0000CA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3" name="Straight Connector 202">
              <a:extLst>
                <a:ext uri="{FF2B5EF4-FFF2-40B4-BE49-F238E27FC236}">
                  <a16:creationId xmlns:a16="http://schemas.microsoft.com/office/drawing/2014/main" id="{00000000-0008-0000-0E00-0000CB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4" name="Straight Connector 203">
              <a:extLst>
                <a:ext uri="{FF2B5EF4-FFF2-40B4-BE49-F238E27FC236}">
                  <a16:creationId xmlns:a16="http://schemas.microsoft.com/office/drawing/2014/main" id="{00000000-0008-0000-0E00-0000CC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5" name="Straight Connector 204">
              <a:extLst>
                <a:ext uri="{FF2B5EF4-FFF2-40B4-BE49-F238E27FC236}">
                  <a16:creationId xmlns:a16="http://schemas.microsoft.com/office/drawing/2014/main" id="{00000000-0008-0000-0E00-0000CD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6" name="Straight Connector 205">
              <a:extLst>
                <a:ext uri="{FF2B5EF4-FFF2-40B4-BE49-F238E27FC236}">
                  <a16:creationId xmlns:a16="http://schemas.microsoft.com/office/drawing/2014/main" id="{00000000-0008-0000-0E00-0000CE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7" name="Straight Connector 206">
              <a:extLst>
                <a:ext uri="{FF2B5EF4-FFF2-40B4-BE49-F238E27FC236}">
                  <a16:creationId xmlns:a16="http://schemas.microsoft.com/office/drawing/2014/main" id="{00000000-0008-0000-0E00-0000CF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208" name="Straight Connector 207">
              <a:extLst>
                <a:ext uri="{FF2B5EF4-FFF2-40B4-BE49-F238E27FC236}">
                  <a16:creationId xmlns:a16="http://schemas.microsoft.com/office/drawing/2014/main" id="{00000000-0008-0000-0E00-0000D0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09" name="Straight Connector 208">
              <a:extLst>
                <a:ext uri="{FF2B5EF4-FFF2-40B4-BE49-F238E27FC236}">
                  <a16:creationId xmlns:a16="http://schemas.microsoft.com/office/drawing/2014/main" id="{00000000-0008-0000-0E00-0000D1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0" name="Straight Connector 209">
              <a:extLst>
                <a:ext uri="{FF2B5EF4-FFF2-40B4-BE49-F238E27FC236}">
                  <a16:creationId xmlns:a16="http://schemas.microsoft.com/office/drawing/2014/main" id="{00000000-0008-0000-0E00-0000D2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1" name="Straight Connector 210">
              <a:extLst>
                <a:ext uri="{FF2B5EF4-FFF2-40B4-BE49-F238E27FC236}">
                  <a16:creationId xmlns:a16="http://schemas.microsoft.com/office/drawing/2014/main" id="{00000000-0008-0000-0E00-0000D3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2" name="Straight Connector 211">
              <a:extLst>
                <a:ext uri="{FF2B5EF4-FFF2-40B4-BE49-F238E27FC236}">
                  <a16:creationId xmlns:a16="http://schemas.microsoft.com/office/drawing/2014/main" id="{00000000-0008-0000-0E00-0000D4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3" name="Straight Connector 212">
              <a:extLst>
                <a:ext uri="{FF2B5EF4-FFF2-40B4-BE49-F238E27FC236}">
                  <a16:creationId xmlns:a16="http://schemas.microsoft.com/office/drawing/2014/main" id="{00000000-0008-0000-0E00-0000D5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4" name="Straight Connector 213">
              <a:extLst>
                <a:ext uri="{FF2B5EF4-FFF2-40B4-BE49-F238E27FC236}">
                  <a16:creationId xmlns:a16="http://schemas.microsoft.com/office/drawing/2014/main" id="{00000000-0008-0000-0E00-0000D6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5" name="Straight Connector 214">
              <a:extLst>
                <a:ext uri="{FF2B5EF4-FFF2-40B4-BE49-F238E27FC236}">
                  <a16:creationId xmlns:a16="http://schemas.microsoft.com/office/drawing/2014/main" id="{00000000-0008-0000-0E00-0000D7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6" name="Straight Connector 215">
              <a:extLst>
                <a:ext uri="{FF2B5EF4-FFF2-40B4-BE49-F238E27FC236}">
                  <a16:creationId xmlns:a16="http://schemas.microsoft.com/office/drawing/2014/main" id="{00000000-0008-0000-0E00-0000D8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7" name="Straight Connector 216">
              <a:extLst>
                <a:ext uri="{FF2B5EF4-FFF2-40B4-BE49-F238E27FC236}">
                  <a16:creationId xmlns:a16="http://schemas.microsoft.com/office/drawing/2014/main" id="{00000000-0008-0000-0E00-0000D9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8" name="Straight Connector 217">
              <a:extLst>
                <a:ext uri="{FF2B5EF4-FFF2-40B4-BE49-F238E27FC236}">
                  <a16:creationId xmlns:a16="http://schemas.microsoft.com/office/drawing/2014/main" id="{00000000-0008-0000-0E00-0000DA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19" name="Straight Connector 218">
              <a:extLst>
                <a:ext uri="{FF2B5EF4-FFF2-40B4-BE49-F238E27FC236}">
                  <a16:creationId xmlns:a16="http://schemas.microsoft.com/office/drawing/2014/main" id="{00000000-0008-0000-0E00-0000DB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0" name="Straight Connector 219">
              <a:extLst>
                <a:ext uri="{FF2B5EF4-FFF2-40B4-BE49-F238E27FC236}">
                  <a16:creationId xmlns:a16="http://schemas.microsoft.com/office/drawing/2014/main" id="{00000000-0008-0000-0E00-0000DC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1" name="Straight Connector 220">
              <a:extLst>
                <a:ext uri="{FF2B5EF4-FFF2-40B4-BE49-F238E27FC236}">
                  <a16:creationId xmlns:a16="http://schemas.microsoft.com/office/drawing/2014/main" id="{00000000-0008-0000-0E00-0000DD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2" name="Straight Connector 221">
              <a:extLst>
                <a:ext uri="{FF2B5EF4-FFF2-40B4-BE49-F238E27FC236}">
                  <a16:creationId xmlns:a16="http://schemas.microsoft.com/office/drawing/2014/main" id="{00000000-0008-0000-0E00-0000DE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3" name="Straight Connector 222">
              <a:extLst>
                <a:ext uri="{FF2B5EF4-FFF2-40B4-BE49-F238E27FC236}">
                  <a16:creationId xmlns:a16="http://schemas.microsoft.com/office/drawing/2014/main" id="{00000000-0008-0000-0E00-0000DF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4" name="Straight Connector 223">
              <a:extLst>
                <a:ext uri="{FF2B5EF4-FFF2-40B4-BE49-F238E27FC236}">
                  <a16:creationId xmlns:a16="http://schemas.microsoft.com/office/drawing/2014/main" id="{00000000-0008-0000-0E00-0000E0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5" name="Straight Connector 224">
              <a:extLst>
                <a:ext uri="{FF2B5EF4-FFF2-40B4-BE49-F238E27FC236}">
                  <a16:creationId xmlns:a16="http://schemas.microsoft.com/office/drawing/2014/main" id="{00000000-0008-0000-0E00-0000E1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6" name="Straight Connector 225">
              <a:extLst>
                <a:ext uri="{FF2B5EF4-FFF2-40B4-BE49-F238E27FC236}">
                  <a16:creationId xmlns:a16="http://schemas.microsoft.com/office/drawing/2014/main" id="{00000000-0008-0000-0E00-0000E2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227" name="Straight Connector 226">
              <a:extLst>
                <a:ext uri="{FF2B5EF4-FFF2-40B4-BE49-F238E27FC236}">
                  <a16:creationId xmlns:a16="http://schemas.microsoft.com/office/drawing/2014/main" id="{00000000-0008-0000-0E00-0000E3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73" name="Group 172">
            <a:extLst>
              <a:ext uri="{FF2B5EF4-FFF2-40B4-BE49-F238E27FC236}">
                <a16:creationId xmlns:a16="http://schemas.microsoft.com/office/drawing/2014/main" id="{00000000-0008-0000-0E00-0000AD000000}"/>
              </a:ext>
            </a:extLst>
          </xdr:cNvPr>
          <xdr:cNvGrpSpPr/>
        </xdr:nvGrpSpPr>
        <xdr:grpSpPr>
          <a:xfrm>
            <a:off x="1227260" y="2516799"/>
            <a:ext cx="2538795" cy="2491155"/>
            <a:chOff x="897892" y="2571747"/>
            <a:chExt cx="2480258" cy="2505073"/>
          </a:xfrm>
        </xdr:grpSpPr>
        <xdr:grpSp>
          <xdr:nvGrpSpPr>
            <xdr:cNvPr id="174" name="Group 173">
              <a:extLst>
                <a:ext uri="{FF2B5EF4-FFF2-40B4-BE49-F238E27FC236}">
                  <a16:creationId xmlns:a16="http://schemas.microsoft.com/office/drawing/2014/main" id="{00000000-0008-0000-0E00-0000AE000000}"/>
                </a:ext>
              </a:extLst>
            </xdr:cNvPr>
            <xdr:cNvGrpSpPr/>
          </xdr:nvGrpSpPr>
          <xdr:grpSpPr>
            <a:xfrm>
              <a:off x="897892" y="2571747"/>
              <a:ext cx="2480258" cy="2505073"/>
              <a:chOff x="1583687" y="2314575"/>
              <a:chExt cx="2480254" cy="2505076"/>
            </a:xfrm>
          </xdr:grpSpPr>
          <xdr:sp macro="" textlink="">
            <xdr:nvSpPr>
              <xdr:cNvPr id="195" name="Oval 194">
                <a:extLst>
                  <a:ext uri="{FF2B5EF4-FFF2-40B4-BE49-F238E27FC236}">
                    <a16:creationId xmlns:a16="http://schemas.microsoft.com/office/drawing/2014/main" id="{00000000-0008-0000-0E00-0000C3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96" name="Oval 195">
                <a:extLst>
                  <a:ext uri="{FF2B5EF4-FFF2-40B4-BE49-F238E27FC236}">
                    <a16:creationId xmlns:a16="http://schemas.microsoft.com/office/drawing/2014/main" id="{00000000-0008-0000-0E00-0000C4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75" name="Straight Connector 174">
              <a:extLst>
                <a:ext uri="{FF2B5EF4-FFF2-40B4-BE49-F238E27FC236}">
                  <a16:creationId xmlns:a16="http://schemas.microsoft.com/office/drawing/2014/main" id="{00000000-0008-0000-0E00-0000AF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6" name="Straight Connector 175">
              <a:extLst>
                <a:ext uri="{FF2B5EF4-FFF2-40B4-BE49-F238E27FC236}">
                  <a16:creationId xmlns:a16="http://schemas.microsoft.com/office/drawing/2014/main" id="{00000000-0008-0000-0E00-0000B0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7" name="Straight Connector 176">
              <a:extLst>
                <a:ext uri="{FF2B5EF4-FFF2-40B4-BE49-F238E27FC236}">
                  <a16:creationId xmlns:a16="http://schemas.microsoft.com/office/drawing/2014/main" id="{00000000-0008-0000-0E00-0000B1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8" name="Straight Connector 177">
              <a:extLst>
                <a:ext uri="{FF2B5EF4-FFF2-40B4-BE49-F238E27FC236}">
                  <a16:creationId xmlns:a16="http://schemas.microsoft.com/office/drawing/2014/main" id="{00000000-0008-0000-0E00-0000B2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9" name="Straight Connector 178">
              <a:extLst>
                <a:ext uri="{FF2B5EF4-FFF2-40B4-BE49-F238E27FC236}">
                  <a16:creationId xmlns:a16="http://schemas.microsoft.com/office/drawing/2014/main" id="{00000000-0008-0000-0E00-0000B3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0" name="Straight Connector 179">
              <a:extLst>
                <a:ext uri="{FF2B5EF4-FFF2-40B4-BE49-F238E27FC236}">
                  <a16:creationId xmlns:a16="http://schemas.microsoft.com/office/drawing/2014/main" id="{00000000-0008-0000-0E00-0000B4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1" name="Straight Connector 180">
              <a:extLst>
                <a:ext uri="{FF2B5EF4-FFF2-40B4-BE49-F238E27FC236}">
                  <a16:creationId xmlns:a16="http://schemas.microsoft.com/office/drawing/2014/main" id="{00000000-0008-0000-0E00-0000B5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2" name="Straight Connector 181">
              <a:extLst>
                <a:ext uri="{FF2B5EF4-FFF2-40B4-BE49-F238E27FC236}">
                  <a16:creationId xmlns:a16="http://schemas.microsoft.com/office/drawing/2014/main" id="{00000000-0008-0000-0E00-0000B6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3" name="Straight Connector 182">
              <a:extLst>
                <a:ext uri="{FF2B5EF4-FFF2-40B4-BE49-F238E27FC236}">
                  <a16:creationId xmlns:a16="http://schemas.microsoft.com/office/drawing/2014/main" id="{00000000-0008-0000-0E00-0000B7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4" name="Straight Connector 183">
              <a:extLst>
                <a:ext uri="{FF2B5EF4-FFF2-40B4-BE49-F238E27FC236}">
                  <a16:creationId xmlns:a16="http://schemas.microsoft.com/office/drawing/2014/main" id="{00000000-0008-0000-0E00-0000B8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5" name="Straight Connector 184">
              <a:extLst>
                <a:ext uri="{FF2B5EF4-FFF2-40B4-BE49-F238E27FC236}">
                  <a16:creationId xmlns:a16="http://schemas.microsoft.com/office/drawing/2014/main" id="{00000000-0008-0000-0E00-0000B9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6" name="Straight Connector 185">
              <a:extLst>
                <a:ext uri="{FF2B5EF4-FFF2-40B4-BE49-F238E27FC236}">
                  <a16:creationId xmlns:a16="http://schemas.microsoft.com/office/drawing/2014/main" id="{00000000-0008-0000-0E00-0000BA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7" name="Straight Connector 186">
              <a:extLst>
                <a:ext uri="{FF2B5EF4-FFF2-40B4-BE49-F238E27FC236}">
                  <a16:creationId xmlns:a16="http://schemas.microsoft.com/office/drawing/2014/main" id="{00000000-0008-0000-0E00-0000BB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8" name="Straight Connector 187">
              <a:extLst>
                <a:ext uri="{FF2B5EF4-FFF2-40B4-BE49-F238E27FC236}">
                  <a16:creationId xmlns:a16="http://schemas.microsoft.com/office/drawing/2014/main" id="{00000000-0008-0000-0E00-0000BC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89" name="Straight Connector 188">
              <a:extLst>
                <a:ext uri="{FF2B5EF4-FFF2-40B4-BE49-F238E27FC236}">
                  <a16:creationId xmlns:a16="http://schemas.microsoft.com/office/drawing/2014/main" id="{00000000-0008-0000-0E00-0000BD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0" name="Straight Connector 189">
              <a:extLst>
                <a:ext uri="{FF2B5EF4-FFF2-40B4-BE49-F238E27FC236}">
                  <a16:creationId xmlns:a16="http://schemas.microsoft.com/office/drawing/2014/main" id="{00000000-0008-0000-0E00-0000BE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1" name="Straight Connector 190">
              <a:extLst>
                <a:ext uri="{FF2B5EF4-FFF2-40B4-BE49-F238E27FC236}">
                  <a16:creationId xmlns:a16="http://schemas.microsoft.com/office/drawing/2014/main" id="{00000000-0008-0000-0E00-0000BF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2" name="Straight Connector 191">
              <a:extLst>
                <a:ext uri="{FF2B5EF4-FFF2-40B4-BE49-F238E27FC236}">
                  <a16:creationId xmlns:a16="http://schemas.microsoft.com/office/drawing/2014/main" id="{00000000-0008-0000-0E00-0000C0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3" name="Straight Connector 192">
              <a:extLst>
                <a:ext uri="{FF2B5EF4-FFF2-40B4-BE49-F238E27FC236}">
                  <a16:creationId xmlns:a16="http://schemas.microsoft.com/office/drawing/2014/main" id="{00000000-0008-0000-0E00-0000C1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94" name="Straight Connector 193">
              <a:extLst>
                <a:ext uri="{FF2B5EF4-FFF2-40B4-BE49-F238E27FC236}">
                  <a16:creationId xmlns:a16="http://schemas.microsoft.com/office/drawing/2014/main" id="{00000000-0008-0000-0E00-0000C2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28.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29.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1</xdr:col>
      <xdr:colOff>2019300</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257175</xdr:colOff>
      <xdr:row>2</xdr:row>
      <xdr:rowOff>47625</xdr:rowOff>
    </xdr:from>
    <xdr:to>
      <xdr:col>21</xdr:col>
      <xdr:colOff>609600</xdr:colOff>
      <xdr:row>6</xdr:row>
      <xdr:rowOff>57539</xdr:rowOff>
    </xdr:to>
    <xdr:pic>
      <xdr:nvPicPr>
        <xdr:cNvPr id="3" name="Picture 2">
          <a:extLst>
            <a:ext uri="{FF2B5EF4-FFF2-40B4-BE49-F238E27FC236}">
              <a16:creationId xmlns:a16="http://schemas.microsoft.com/office/drawing/2014/main" id="{00000000-0008-0000-0F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4116050"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7</xdr:col>
      <xdr:colOff>142875</xdr:colOff>
      <xdr:row>9</xdr:row>
      <xdr:rowOff>38100</xdr:rowOff>
    </xdr:from>
    <xdr:to>
      <xdr:col>11</xdr:col>
      <xdr:colOff>504825</xdr:colOff>
      <xdr:row>19</xdr:row>
      <xdr:rowOff>190500</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66675</xdr:colOff>
      <xdr:row>7</xdr:row>
      <xdr:rowOff>152400</xdr:rowOff>
    </xdr:from>
    <xdr:to>
      <xdr:col>10</xdr:col>
      <xdr:colOff>714375</xdr:colOff>
      <xdr:row>9</xdr:row>
      <xdr:rowOff>28575</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6858000" y="1552575"/>
          <a:ext cx="2057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100" b="1">
              <a:solidFill>
                <a:srgbClr val="C00000"/>
              </a:solidFill>
              <a:latin typeface="Century Gothic" panose="020B0502020202020204" pitchFamily="34" charset="0"/>
            </a:rPr>
            <a:t>Formal &amp; Retail</a:t>
          </a:r>
        </a:p>
      </xdr:txBody>
    </xdr:sp>
    <xdr:clientData/>
  </xdr:twoCellAnchor>
  <xdr:twoCellAnchor>
    <xdr:from>
      <xdr:col>12</xdr:col>
      <xdr:colOff>28575</xdr:colOff>
      <xdr:row>7</xdr:row>
      <xdr:rowOff>200024</xdr:rowOff>
    </xdr:from>
    <xdr:to>
      <xdr:col>16</xdr:col>
      <xdr:colOff>590931</xdr:colOff>
      <xdr:row>19</xdr:row>
      <xdr:rowOff>171449</xdr:rowOff>
    </xdr:to>
    <xdr:graphicFrame macro="">
      <xdr:nvGraphicFramePr>
        <xdr:cNvPr id="6" name="Chart 5">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638175</xdr:colOff>
      <xdr:row>7</xdr:row>
      <xdr:rowOff>123825</xdr:rowOff>
    </xdr:from>
    <xdr:to>
      <xdr:col>15</xdr:col>
      <xdr:colOff>590550</xdr:colOff>
      <xdr:row>9</xdr:row>
      <xdr:rowOff>0</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10267950" y="1524000"/>
          <a:ext cx="2057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100" b="1">
              <a:solidFill>
                <a:srgbClr val="FF0000"/>
              </a:solidFill>
              <a:latin typeface="Century Gothic" panose="020B0502020202020204" pitchFamily="34" charset="0"/>
            </a:rPr>
            <a:t>Informal</a:t>
          </a:r>
        </a:p>
      </xdr:txBody>
    </xdr:sp>
    <xdr:clientData/>
  </xdr:twoCellAnchor>
  <xdr:twoCellAnchor>
    <xdr:from>
      <xdr:col>17</xdr:col>
      <xdr:colOff>200026</xdr:colOff>
      <xdr:row>8</xdr:row>
      <xdr:rowOff>57150</xdr:rowOff>
    </xdr:from>
    <xdr:to>
      <xdr:col>22</xdr:col>
      <xdr:colOff>0</xdr:colOff>
      <xdr:row>20</xdr:row>
      <xdr:rowOff>57150</xdr:rowOff>
    </xdr:to>
    <xdr:graphicFrame macro="">
      <xdr:nvGraphicFramePr>
        <xdr:cNvPr id="8" name="Chart 7">
          <a:extLst>
            <a:ext uri="{FF2B5EF4-FFF2-40B4-BE49-F238E27FC236}">
              <a16:creationId xmlns:a16="http://schemas.microsoft.com/office/drawing/2014/main" id="{00000000-0008-0000-0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114300</xdr:colOff>
      <xdr:row>7</xdr:row>
      <xdr:rowOff>123825</xdr:rowOff>
    </xdr:from>
    <xdr:to>
      <xdr:col>21</xdr:col>
      <xdr:colOff>95250</xdr:colOff>
      <xdr:row>9</xdr:row>
      <xdr:rowOff>0</xdr:rowOff>
    </xdr:to>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3954125" y="1524000"/>
          <a:ext cx="2057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100" b="1">
              <a:solidFill>
                <a:srgbClr val="FF5050"/>
              </a:solidFill>
              <a:latin typeface="Century Gothic" panose="020B0502020202020204" pitchFamily="34" charset="0"/>
            </a:rPr>
            <a:t>Friends &amp; Family</a:t>
          </a:r>
        </a:p>
      </xdr:txBody>
    </xdr:sp>
    <xdr:clientData/>
  </xdr:twoCellAnchor>
  <xdr:twoCellAnchor>
    <xdr:from>
      <xdr:col>1</xdr:col>
      <xdr:colOff>47625</xdr:colOff>
      <xdr:row>16</xdr:row>
      <xdr:rowOff>0</xdr:rowOff>
    </xdr:from>
    <xdr:to>
      <xdr:col>1</xdr:col>
      <xdr:colOff>1466850</xdr:colOff>
      <xdr:row>18</xdr:row>
      <xdr:rowOff>66675</xdr:rowOff>
    </xdr:to>
    <xdr:sp macro="" textlink="">
      <xdr:nvSpPr>
        <xdr:cNvPr id="10" name="Round Diagonal Corner Rectangle 9">
          <a:hlinkClick xmlns:r="http://schemas.openxmlformats.org/officeDocument/2006/relationships" r:id="rId6"/>
          <a:extLst>
            <a:ext uri="{FF2B5EF4-FFF2-40B4-BE49-F238E27FC236}">
              <a16:creationId xmlns:a16="http://schemas.microsoft.com/office/drawing/2014/main" id="{00000000-0008-0000-0F00-00000A000000}"/>
            </a:ext>
          </a:extLst>
        </xdr:cNvPr>
        <xdr:cNvSpPr/>
      </xdr:nvSpPr>
      <xdr:spPr>
        <a:xfrm>
          <a:off x="600075" y="3200400"/>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1</xdr:col>
      <xdr:colOff>1752600</xdr:colOff>
      <xdr:row>16</xdr:row>
      <xdr:rowOff>9525</xdr:rowOff>
    </xdr:from>
    <xdr:to>
      <xdr:col>3</xdr:col>
      <xdr:colOff>161925</xdr:colOff>
      <xdr:row>18</xdr:row>
      <xdr:rowOff>76200</xdr:rowOff>
    </xdr:to>
    <xdr:sp macro="" textlink="">
      <xdr:nvSpPr>
        <xdr:cNvPr id="12" name="Round Diagonal Corner Rectangle 11">
          <a:hlinkClick xmlns:r="http://schemas.openxmlformats.org/officeDocument/2006/relationships" r:id="rId7"/>
          <a:extLst>
            <a:ext uri="{FF2B5EF4-FFF2-40B4-BE49-F238E27FC236}">
              <a16:creationId xmlns:a16="http://schemas.microsoft.com/office/drawing/2014/main" id="{00000000-0008-0000-0F00-00000C000000}"/>
            </a:ext>
          </a:extLst>
        </xdr:cNvPr>
        <xdr:cNvSpPr/>
      </xdr:nvSpPr>
      <xdr:spPr>
        <a:xfrm>
          <a:off x="2305050" y="320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3</xdr:col>
      <xdr:colOff>476250</xdr:colOff>
      <xdr:row>16</xdr:row>
      <xdr:rowOff>28575</xdr:rowOff>
    </xdr:from>
    <xdr:to>
      <xdr:col>6</xdr:col>
      <xdr:colOff>657225</xdr:colOff>
      <xdr:row>18</xdr:row>
      <xdr:rowOff>95250</xdr:rowOff>
    </xdr:to>
    <xdr:sp macro="" textlink="">
      <xdr:nvSpPr>
        <xdr:cNvPr id="13" name="Round Diagonal Corner Rectangle 12">
          <a:hlinkClick xmlns:r="http://schemas.openxmlformats.org/officeDocument/2006/relationships" r:id="rId8"/>
          <a:extLst>
            <a:ext uri="{FF2B5EF4-FFF2-40B4-BE49-F238E27FC236}">
              <a16:creationId xmlns:a16="http://schemas.microsoft.com/office/drawing/2014/main" id="{00000000-0008-0000-0F00-00000D000000}"/>
            </a:ext>
          </a:extLst>
        </xdr:cNvPr>
        <xdr:cNvSpPr/>
      </xdr:nvSpPr>
      <xdr:spPr>
        <a:xfrm>
          <a:off x="4038600" y="3228975"/>
          <a:ext cx="20097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7867650"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95250</xdr:rowOff>
    </xdr:from>
    <xdr:to>
      <xdr:col>5</xdr:col>
      <xdr:colOff>174623</xdr:colOff>
      <xdr:row>25</xdr:row>
      <xdr:rowOff>85724</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159844</xdr:colOff>
      <xdr:row>17</xdr:row>
      <xdr:rowOff>186244</xdr:rowOff>
    </xdr:from>
    <xdr:to>
      <xdr:col>2</xdr:col>
      <xdr:colOff>505792</xdr:colOff>
      <xdr:row>20</xdr:row>
      <xdr:rowOff>33164</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2302969" y="3586669"/>
          <a:ext cx="345948" cy="446995"/>
          <a:chOff x="2705100" y="2581275"/>
          <a:chExt cx="457200" cy="590550"/>
        </a:xfrm>
      </xdr:grpSpPr>
      <xdr:sp macro="" textlink="">
        <xdr:nvSpPr>
          <xdr:cNvPr id="14" name="Oval 13">
            <a:extLst>
              <a:ext uri="{FF2B5EF4-FFF2-40B4-BE49-F238E27FC236}">
                <a16:creationId xmlns:a16="http://schemas.microsoft.com/office/drawing/2014/main" id="{00000000-0008-0000-0200-00000E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5" name="Oval 14">
            <a:extLst>
              <a:ext uri="{FF2B5EF4-FFF2-40B4-BE49-F238E27FC236}">
                <a16:creationId xmlns:a16="http://schemas.microsoft.com/office/drawing/2014/main" id="{00000000-0008-0000-0200-00000F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6" name="Oval 15">
            <a:extLst>
              <a:ext uri="{FF2B5EF4-FFF2-40B4-BE49-F238E27FC236}">
                <a16:creationId xmlns:a16="http://schemas.microsoft.com/office/drawing/2014/main" id="{00000000-0008-0000-0200-000010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1497911</xdr:colOff>
      <xdr:row>20</xdr:row>
      <xdr:rowOff>37321</xdr:rowOff>
    </xdr:from>
    <xdr:to>
      <xdr:col>2</xdr:col>
      <xdr:colOff>666750</xdr:colOff>
      <xdr:row>21</xdr:row>
      <xdr:rowOff>191845</xdr:rowOff>
    </xdr:to>
    <xdr:sp macro="" textlink="$Y$49">
      <xdr:nvSpPr>
        <xdr:cNvPr id="17" name="Rounded Rectangle 16">
          <a:extLst>
            <a:ext uri="{FF2B5EF4-FFF2-40B4-BE49-F238E27FC236}">
              <a16:creationId xmlns:a16="http://schemas.microsoft.com/office/drawing/2014/main" id="{00000000-0008-0000-0200-000011000000}"/>
            </a:ext>
          </a:extLst>
        </xdr:cNvPr>
        <xdr:cNvSpPr/>
      </xdr:nvSpPr>
      <xdr:spPr>
        <a:xfrm>
          <a:off x="2107511" y="40378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1445438</xdr:colOff>
      <xdr:row>22</xdr:row>
      <xdr:rowOff>38308</xdr:rowOff>
    </xdr:from>
    <xdr:to>
      <xdr:col>3</xdr:col>
      <xdr:colOff>35579</xdr:colOff>
      <xdr:row>23</xdr:row>
      <xdr:rowOff>39424</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2055038"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914413</xdr:colOff>
      <xdr:row>14</xdr:row>
      <xdr:rowOff>123825</xdr:rowOff>
    </xdr:from>
    <xdr:to>
      <xdr:col>3</xdr:col>
      <xdr:colOff>421404</xdr:colOff>
      <xdr:row>21</xdr:row>
      <xdr:rowOff>172502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1524013" y="2924175"/>
          <a:ext cx="1888241" cy="1448852"/>
          <a:chOff x="2752969" y="3781425"/>
          <a:chExt cx="1668917" cy="1448852"/>
        </a:xfrm>
      </xdr:grpSpPr>
      <xdr:sp macro="" textlink="">
        <xdr:nvSpPr>
          <xdr:cNvPr id="94" name="TextBox 93">
            <a:extLst>
              <a:ext uri="{FF2B5EF4-FFF2-40B4-BE49-F238E27FC236}">
                <a16:creationId xmlns:a16="http://schemas.microsoft.com/office/drawing/2014/main" id="{00000000-0008-0000-0200-00005E000000}"/>
              </a:ext>
            </a:extLst>
          </xdr:cNvPr>
          <xdr:cNvSpPr txBox="1"/>
        </xdr:nvSpPr>
        <xdr:spPr>
          <a:xfrm>
            <a:off x="2867267" y="5010150"/>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95" name="TextBox 94">
            <a:extLst>
              <a:ext uri="{FF2B5EF4-FFF2-40B4-BE49-F238E27FC236}">
                <a16:creationId xmlns:a16="http://schemas.microsoft.com/office/drawing/2014/main" id="{00000000-0008-0000-0200-00005F000000}"/>
              </a:ext>
            </a:extLst>
          </xdr:cNvPr>
          <xdr:cNvSpPr txBox="1"/>
        </xdr:nvSpPr>
        <xdr:spPr>
          <a:xfrm>
            <a:off x="2752969" y="461962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96" name="TextBox 95">
            <a:extLst>
              <a:ext uri="{FF2B5EF4-FFF2-40B4-BE49-F238E27FC236}">
                <a16:creationId xmlns:a16="http://schemas.microsoft.com/office/drawing/2014/main" id="{00000000-0008-0000-0200-000060000000}"/>
              </a:ext>
            </a:extLst>
          </xdr:cNvPr>
          <xdr:cNvSpPr txBox="1"/>
        </xdr:nvSpPr>
        <xdr:spPr>
          <a:xfrm>
            <a:off x="2841584" y="431482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97" name="TextBox 96">
            <a:extLst>
              <a:ext uri="{FF2B5EF4-FFF2-40B4-BE49-F238E27FC236}">
                <a16:creationId xmlns:a16="http://schemas.microsoft.com/office/drawing/2014/main" id="{00000000-0008-0000-0200-000061000000}"/>
              </a:ext>
            </a:extLst>
          </xdr:cNvPr>
          <xdr:cNvSpPr txBox="1"/>
        </xdr:nvSpPr>
        <xdr:spPr>
          <a:xfrm>
            <a:off x="2964731" y="40386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98" name="TextBox 97">
            <a:extLst>
              <a:ext uri="{FF2B5EF4-FFF2-40B4-BE49-F238E27FC236}">
                <a16:creationId xmlns:a16="http://schemas.microsoft.com/office/drawing/2014/main" id="{00000000-0008-0000-0200-000062000000}"/>
              </a:ext>
            </a:extLst>
          </xdr:cNvPr>
          <xdr:cNvSpPr txBox="1"/>
        </xdr:nvSpPr>
        <xdr:spPr>
          <a:xfrm>
            <a:off x="3199537" y="3876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99" name="TextBox 98">
            <a:extLst>
              <a:ext uri="{FF2B5EF4-FFF2-40B4-BE49-F238E27FC236}">
                <a16:creationId xmlns:a16="http://schemas.microsoft.com/office/drawing/2014/main" id="{00000000-0008-0000-0200-000063000000}"/>
              </a:ext>
            </a:extLst>
          </xdr:cNvPr>
          <xdr:cNvSpPr txBox="1"/>
        </xdr:nvSpPr>
        <xdr:spPr>
          <a:xfrm>
            <a:off x="3426356" y="3781425"/>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100" name="TextBox 99">
            <a:extLst>
              <a:ext uri="{FF2B5EF4-FFF2-40B4-BE49-F238E27FC236}">
                <a16:creationId xmlns:a16="http://schemas.microsoft.com/office/drawing/2014/main" id="{00000000-0008-0000-0200-000064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101" name="TextBox 100">
            <a:extLst>
              <a:ext uri="{FF2B5EF4-FFF2-40B4-BE49-F238E27FC236}">
                <a16:creationId xmlns:a16="http://schemas.microsoft.com/office/drawing/2014/main" id="{00000000-0008-0000-0200-000065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102" name="TextBox 101">
            <a:extLst>
              <a:ext uri="{FF2B5EF4-FFF2-40B4-BE49-F238E27FC236}">
                <a16:creationId xmlns:a16="http://schemas.microsoft.com/office/drawing/2014/main" id="{00000000-0008-0000-0200-000066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103" name="TextBox 102">
            <a:extLst>
              <a:ext uri="{FF2B5EF4-FFF2-40B4-BE49-F238E27FC236}">
                <a16:creationId xmlns:a16="http://schemas.microsoft.com/office/drawing/2014/main" id="{00000000-0008-0000-0200-000067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109" name="TextBox 108">
            <a:extLst>
              <a:ext uri="{FF2B5EF4-FFF2-40B4-BE49-F238E27FC236}">
                <a16:creationId xmlns:a16="http://schemas.microsoft.com/office/drawing/2014/main" id="{00000000-0008-0000-0200-00006D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145" name="Group 144">
          <a:extLst>
            <a:ext uri="{FF2B5EF4-FFF2-40B4-BE49-F238E27FC236}">
              <a16:creationId xmlns:a16="http://schemas.microsoft.com/office/drawing/2014/main" id="{00000000-0008-0000-0200-000091000000}"/>
            </a:ext>
          </a:extLst>
        </xdr:cNvPr>
        <xdr:cNvGrpSpPr/>
      </xdr:nvGrpSpPr>
      <xdr:grpSpPr>
        <a:xfrm>
          <a:off x="628649" y="5648325"/>
          <a:ext cx="3981450" cy="1163918"/>
          <a:chOff x="837215" y="4486275"/>
          <a:chExt cx="3039460" cy="1063588"/>
        </a:xfrm>
      </xdr:grpSpPr>
      <xdr:sp macro="" textlink="">
        <xdr:nvSpPr>
          <xdr:cNvPr id="146" name="Round Same Side Corner Rectangle 145">
            <a:extLst>
              <a:ext uri="{FF2B5EF4-FFF2-40B4-BE49-F238E27FC236}">
                <a16:creationId xmlns:a16="http://schemas.microsoft.com/office/drawing/2014/main" id="{00000000-0008-0000-0200-000092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147" name="Rectangle 146">
            <a:extLst>
              <a:ext uri="{FF2B5EF4-FFF2-40B4-BE49-F238E27FC236}">
                <a16:creationId xmlns:a16="http://schemas.microsoft.com/office/drawing/2014/main" id="{00000000-0008-0000-0200-000093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148" name="TextBox 147">
          <a:extLst>
            <a:ext uri="{FF2B5EF4-FFF2-40B4-BE49-F238E27FC236}">
              <a16:creationId xmlns:a16="http://schemas.microsoft.com/office/drawing/2014/main" id="{00000000-0008-0000-0200-000094000000}"/>
            </a:ext>
          </a:extLst>
        </xdr:cNvPr>
        <xdr:cNvSpPr txBox="1"/>
      </xdr:nvSpPr>
      <xdr:spPr>
        <a:xfrm>
          <a:off x="1304925" y="536257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149" name="Group 148">
          <a:extLst>
            <a:ext uri="{FF2B5EF4-FFF2-40B4-BE49-F238E27FC236}">
              <a16:creationId xmlns:a16="http://schemas.microsoft.com/office/drawing/2014/main" id="{00000000-0008-0000-0200-000095000000}"/>
            </a:ext>
          </a:extLst>
        </xdr:cNvPr>
        <xdr:cNvGrpSpPr/>
      </xdr:nvGrpSpPr>
      <xdr:grpSpPr>
        <a:xfrm>
          <a:off x="4991100" y="5629275"/>
          <a:ext cx="4086225" cy="1179232"/>
          <a:chOff x="4599590" y="4505325"/>
          <a:chExt cx="3039460" cy="1063588"/>
        </a:xfrm>
      </xdr:grpSpPr>
      <xdr:sp macro="" textlink="">
        <xdr:nvSpPr>
          <xdr:cNvPr id="150" name="Round Same Side Corner Rectangle 149">
            <a:extLst>
              <a:ext uri="{FF2B5EF4-FFF2-40B4-BE49-F238E27FC236}">
                <a16:creationId xmlns:a16="http://schemas.microsoft.com/office/drawing/2014/main" id="{00000000-0008-0000-0200-000096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51" name="Rectangle 150">
            <a:extLst>
              <a:ext uri="{FF2B5EF4-FFF2-40B4-BE49-F238E27FC236}">
                <a16:creationId xmlns:a16="http://schemas.microsoft.com/office/drawing/2014/main" id="{00000000-0008-0000-0200-000097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xdr:col>
      <xdr:colOff>619125</xdr:colOff>
      <xdr:row>12</xdr:row>
      <xdr:rowOff>142876</xdr:rowOff>
    </xdr:from>
    <xdr:to>
      <xdr:col>3</xdr:col>
      <xdr:colOff>776670</xdr:colOff>
      <xdr:row>25</xdr:row>
      <xdr:rowOff>47627</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1228725" y="2543176"/>
          <a:ext cx="2538795" cy="2514601"/>
          <a:chOff x="1227260" y="2516799"/>
          <a:chExt cx="2538795" cy="2491155"/>
        </a:xfrm>
      </xdr:grpSpPr>
      <xdr:grpSp>
        <xdr:nvGrpSpPr>
          <xdr:cNvPr id="9" name="Group 8">
            <a:extLst>
              <a:ext uri="{FF2B5EF4-FFF2-40B4-BE49-F238E27FC236}">
                <a16:creationId xmlns:a16="http://schemas.microsoft.com/office/drawing/2014/main" id="{00000000-0008-0000-0200-000009000000}"/>
              </a:ext>
            </a:extLst>
          </xdr:cNvPr>
          <xdr:cNvGrpSpPr/>
        </xdr:nvGrpSpPr>
        <xdr:grpSpPr>
          <a:xfrm>
            <a:off x="1274885" y="2602889"/>
            <a:ext cx="2342024" cy="1806453"/>
            <a:chOff x="1274885" y="2602889"/>
            <a:chExt cx="2342024" cy="1806453"/>
          </a:xfrm>
        </xdr:grpSpPr>
        <xdr:cxnSp macro="">
          <xdr:nvCxnSpPr>
            <xdr:cNvPr id="20" name="Straight Connector 19">
              <a:extLst>
                <a:ext uri="{FF2B5EF4-FFF2-40B4-BE49-F238E27FC236}">
                  <a16:creationId xmlns:a16="http://schemas.microsoft.com/office/drawing/2014/main" id="{00000000-0008-0000-0200-000014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85" name="Straight Connector 84">
              <a:extLst>
                <a:ext uri="{FF2B5EF4-FFF2-40B4-BE49-F238E27FC236}">
                  <a16:creationId xmlns:a16="http://schemas.microsoft.com/office/drawing/2014/main" id="{00000000-0008-0000-0200-000055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86" name="Straight Connector 85">
              <a:extLst>
                <a:ext uri="{FF2B5EF4-FFF2-40B4-BE49-F238E27FC236}">
                  <a16:creationId xmlns:a16="http://schemas.microsoft.com/office/drawing/2014/main" id="{00000000-0008-0000-0200-000056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87" name="Straight Connector 86">
              <a:extLst>
                <a:ext uri="{FF2B5EF4-FFF2-40B4-BE49-F238E27FC236}">
                  <a16:creationId xmlns:a16="http://schemas.microsoft.com/office/drawing/2014/main" id="{00000000-0008-0000-0200-000057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88" name="Straight Connector 87">
              <a:extLst>
                <a:ext uri="{FF2B5EF4-FFF2-40B4-BE49-F238E27FC236}">
                  <a16:creationId xmlns:a16="http://schemas.microsoft.com/office/drawing/2014/main" id="{00000000-0008-0000-0200-000058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89" name="Straight Connector 88">
              <a:extLst>
                <a:ext uri="{FF2B5EF4-FFF2-40B4-BE49-F238E27FC236}">
                  <a16:creationId xmlns:a16="http://schemas.microsoft.com/office/drawing/2014/main" id="{00000000-0008-0000-0200-000059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90" name="Straight Connector 89">
              <a:extLst>
                <a:ext uri="{FF2B5EF4-FFF2-40B4-BE49-F238E27FC236}">
                  <a16:creationId xmlns:a16="http://schemas.microsoft.com/office/drawing/2014/main" id="{00000000-0008-0000-0200-00005A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91" name="Straight Connector 90">
              <a:extLst>
                <a:ext uri="{FF2B5EF4-FFF2-40B4-BE49-F238E27FC236}">
                  <a16:creationId xmlns:a16="http://schemas.microsoft.com/office/drawing/2014/main" id="{00000000-0008-0000-0200-00005B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92" name="Straight Connector 91">
              <a:extLst>
                <a:ext uri="{FF2B5EF4-FFF2-40B4-BE49-F238E27FC236}">
                  <a16:creationId xmlns:a16="http://schemas.microsoft.com/office/drawing/2014/main" id="{00000000-0008-0000-0200-00005C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93" name="Straight Connector 92">
              <a:extLst>
                <a:ext uri="{FF2B5EF4-FFF2-40B4-BE49-F238E27FC236}">
                  <a16:creationId xmlns:a16="http://schemas.microsoft.com/office/drawing/2014/main" id="{00000000-0008-0000-0200-00005D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08" name="Straight Connector 107">
              <a:extLst>
                <a:ext uri="{FF2B5EF4-FFF2-40B4-BE49-F238E27FC236}">
                  <a16:creationId xmlns:a16="http://schemas.microsoft.com/office/drawing/2014/main" id="{00000000-0008-0000-0200-00006C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10" name="Straight Connector 109">
              <a:extLst>
                <a:ext uri="{FF2B5EF4-FFF2-40B4-BE49-F238E27FC236}">
                  <a16:creationId xmlns:a16="http://schemas.microsoft.com/office/drawing/2014/main" id="{00000000-0008-0000-0200-00006E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1" name="Straight Connector 110">
              <a:extLst>
                <a:ext uri="{FF2B5EF4-FFF2-40B4-BE49-F238E27FC236}">
                  <a16:creationId xmlns:a16="http://schemas.microsoft.com/office/drawing/2014/main" id="{00000000-0008-0000-0200-00006F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3" name="Straight Connector 112">
              <a:extLst>
                <a:ext uri="{FF2B5EF4-FFF2-40B4-BE49-F238E27FC236}">
                  <a16:creationId xmlns:a16="http://schemas.microsoft.com/office/drawing/2014/main" id="{00000000-0008-0000-0200-000071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5" name="Straight Connector 114">
              <a:extLst>
                <a:ext uri="{FF2B5EF4-FFF2-40B4-BE49-F238E27FC236}">
                  <a16:creationId xmlns:a16="http://schemas.microsoft.com/office/drawing/2014/main" id="{00000000-0008-0000-0200-000073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8" name="Straight Connector 117">
              <a:extLst>
                <a:ext uri="{FF2B5EF4-FFF2-40B4-BE49-F238E27FC236}">
                  <a16:creationId xmlns:a16="http://schemas.microsoft.com/office/drawing/2014/main" id="{00000000-0008-0000-0200-000076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200-000077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200-000078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200-000079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200-00007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200-00008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200-00008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200-00008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200-00008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200-00008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200-00008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200-000088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9" name="Straight Connector 138">
              <a:extLst>
                <a:ext uri="{FF2B5EF4-FFF2-40B4-BE49-F238E27FC236}">
                  <a16:creationId xmlns:a16="http://schemas.microsoft.com/office/drawing/2014/main" id="{00000000-0008-0000-0200-00008B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40" name="Straight Connector 139">
              <a:extLst>
                <a:ext uri="{FF2B5EF4-FFF2-40B4-BE49-F238E27FC236}">
                  <a16:creationId xmlns:a16="http://schemas.microsoft.com/office/drawing/2014/main" id="{00000000-0008-0000-0200-00008C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200-00008D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200-00008E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73" name="Group 172">
            <a:extLst>
              <a:ext uri="{FF2B5EF4-FFF2-40B4-BE49-F238E27FC236}">
                <a16:creationId xmlns:a16="http://schemas.microsoft.com/office/drawing/2014/main" id="{00000000-0008-0000-0200-0000AD000000}"/>
              </a:ext>
            </a:extLst>
          </xdr:cNvPr>
          <xdr:cNvGrpSpPr/>
        </xdr:nvGrpSpPr>
        <xdr:grpSpPr>
          <a:xfrm>
            <a:off x="1227260" y="2516799"/>
            <a:ext cx="2538795" cy="2491155"/>
            <a:chOff x="897892" y="2571747"/>
            <a:chExt cx="2480258" cy="2505073"/>
          </a:xfrm>
        </xdr:grpSpPr>
        <xdr:grpSp>
          <xdr:nvGrpSpPr>
            <xdr:cNvPr id="144" name="Group 143">
              <a:extLst>
                <a:ext uri="{FF2B5EF4-FFF2-40B4-BE49-F238E27FC236}">
                  <a16:creationId xmlns:a16="http://schemas.microsoft.com/office/drawing/2014/main" id="{00000000-0008-0000-0200-000090000000}"/>
                </a:ext>
              </a:extLst>
            </xdr:cNvPr>
            <xdr:cNvGrpSpPr/>
          </xdr:nvGrpSpPr>
          <xdr:grpSpPr>
            <a:xfrm>
              <a:off x="897892" y="2571747"/>
              <a:ext cx="2480258" cy="2505073"/>
              <a:chOff x="1583687" y="2314575"/>
              <a:chExt cx="2480254" cy="2505076"/>
            </a:xfrm>
          </xdr:grpSpPr>
          <xdr:sp macro="" textlink="">
            <xdr:nvSpPr>
              <xdr:cNvPr id="19" name="Oval 18">
                <a:extLst>
                  <a:ext uri="{FF2B5EF4-FFF2-40B4-BE49-F238E27FC236}">
                    <a16:creationId xmlns:a16="http://schemas.microsoft.com/office/drawing/2014/main" id="{00000000-0008-0000-0200-000013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43" name="Oval 142">
                <a:extLst>
                  <a:ext uri="{FF2B5EF4-FFF2-40B4-BE49-F238E27FC236}">
                    <a16:creationId xmlns:a16="http://schemas.microsoft.com/office/drawing/2014/main" id="{00000000-0008-0000-0200-00008F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52" name="Straight Connector 151">
              <a:extLst>
                <a:ext uri="{FF2B5EF4-FFF2-40B4-BE49-F238E27FC236}">
                  <a16:creationId xmlns:a16="http://schemas.microsoft.com/office/drawing/2014/main" id="{00000000-0008-0000-0200-000098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200-000099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200-00009A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200-00009B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200-00009C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200-00009D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200-00009E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200-00009F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200-0000A0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200-0000A1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200-0000A2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200-0000A3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200-0000A4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200-0000A5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200-0000A6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200-0000A7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200-0000A8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200-0000A9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200-0000AA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1" name="Straight Connector 170">
              <a:extLst>
                <a:ext uri="{FF2B5EF4-FFF2-40B4-BE49-F238E27FC236}">
                  <a16:creationId xmlns:a16="http://schemas.microsoft.com/office/drawing/2014/main" id="{00000000-0008-0000-0200-0000AB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oneCellAnchor>
    <xdr:from>
      <xdr:col>6</xdr:col>
      <xdr:colOff>809625</xdr:colOff>
      <xdr:row>26</xdr:row>
      <xdr:rowOff>123825</xdr:rowOff>
    </xdr:from>
    <xdr:ext cx="2034724" cy="257443"/>
    <xdr:sp macro="" textlink="">
      <xdr:nvSpPr>
        <xdr:cNvPr id="174" name="TextBox 173">
          <a:extLst>
            <a:ext uri="{FF2B5EF4-FFF2-40B4-BE49-F238E27FC236}">
              <a16:creationId xmlns:a16="http://schemas.microsoft.com/office/drawing/2014/main" id="{00000000-0008-0000-0200-0000AE000000}"/>
            </a:ext>
          </a:extLst>
        </xdr:cNvPr>
        <xdr:cNvSpPr txBox="1"/>
      </xdr:nvSpPr>
      <xdr:spPr>
        <a:xfrm>
          <a:off x="5200650" y="532447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178" name="Chart 177">
          <a:extLst>
            <a:ext uri="{FF2B5EF4-FFF2-40B4-BE49-F238E27FC236}">
              <a16:creationId xmlns:a16="http://schemas.microsoft.com/office/drawing/2014/main" id="{00000000-0008-0000-0200-0000B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181" name="Group 180">
          <a:extLst>
            <a:ext uri="{FF2B5EF4-FFF2-40B4-BE49-F238E27FC236}">
              <a16:creationId xmlns:a16="http://schemas.microsoft.com/office/drawing/2014/main" id="{00000000-0008-0000-0200-0000B5000000}"/>
            </a:ext>
          </a:extLst>
        </xdr:cNvPr>
        <xdr:cNvGrpSpPr/>
      </xdr:nvGrpSpPr>
      <xdr:grpSpPr>
        <a:xfrm>
          <a:off x="9401176" y="5648325"/>
          <a:ext cx="3743325" cy="1171575"/>
          <a:chOff x="7942864" y="4514850"/>
          <a:chExt cx="3410935" cy="1063588"/>
        </a:xfrm>
      </xdr:grpSpPr>
      <xdr:sp macro="" textlink="">
        <xdr:nvSpPr>
          <xdr:cNvPr id="182" name="Round Same Side Corner Rectangle 181">
            <a:extLst>
              <a:ext uri="{FF2B5EF4-FFF2-40B4-BE49-F238E27FC236}">
                <a16:creationId xmlns:a16="http://schemas.microsoft.com/office/drawing/2014/main" id="{00000000-0008-0000-0200-0000B6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83" name="Rectangle 182">
            <a:extLst>
              <a:ext uri="{FF2B5EF4-FFF2-40B4-BE49-F238E27FC236}">
                <a16:creationId xmlns:a16="http://schemas.microsoft.com/office/drawing/2014/main" id="{00000000-0008-0000-0200-0000B7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184" name="TextBox 183">
          <a:extLst>
            <a:ext uri="{FF2B5EF4-FFF2-40B4-BE49-F238E27FC236}">
              <a16:creationId xmlns:a16="http://schemas.microsoft.com/office/drawing/2014/main" id="{00000000-0008-0000-0200-0000B8000000}"/>
            </a:ext>
          </a:extLst>
        </xdr:cNvPr>
        <xdr:cNvSpPr txBox="1"/>
      </xdr:nvSpPr>
      <xdr:spPr>
        <a:xfrm>
          <a:off x="8810625" y="529590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193" name="Group 192">
          <a:extLst>
            <a:ext uri="{FF2B5EF4-FFF2-40B4-BE49-F238E27FC236}">
              <a16:creationId xmlns:a16="http://schemas.microsoft.com/office/drawing/2014/main" id="{00000000-0008-0000-0200-0000C1000000}"/>
            </a:ext>
          </a:extLst>
        </xdr:cNvPr>
        <xdr:cNvGrpSpPr/>
      </xdr:nvGrpSpPr>
      <xdr:grpSpPr>
        <a:xfrm>
          <a:off x="8553450" y="2990850"/>
          <a:ext cx="2875088" cy="2000250"/>
          <a:chOff x="8153400" y="2990850"/>
          <a:chExt cx="2636963" cy="2000250"/>
        </a:xfrm>
      </xdr:grpSpPr>
      <xdr:sp macro="" textlink="Actual_Perc_Goal">
        <xdr:nvSpPr>
          <xdr:cNvPr id="186" name="TextBox 185">
            <a:extLst>
              <a:ext uri="{FF2B5EF4-FFF2-40B4-BE49-F238E27FC236}">
                <a16:creationId xmlns:a16="http://schemas.microsoft.com/office/drawing/2014/main" id="{00000000-0008-0000-0200-0000BA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187" name="Group 186">
            <a:extLst>
              <a:ext uri="{FF2B5EF4-FFF2-40B4-BE49-F238E27FC236}">
                <a16:creationId xmlns:a16="http://schemas.microsoft.com/office/drawing/2014/main" id="{00000000-0008-0000-0200-0000BB000000}"/>
              </a:ext>
            </a:extLst>
          </xdr:cNvPr>
          <xdr:cNvGrpSpPr/>
        </xdr:nvGrpSpPr>
        <xdr:grpSpPr>
          <a:xfrm>
            <a:off x="8153400" y="2990850"/>
            <a:ext cx="2636963" cy="2000250"/>
            <a:chOff x="4365624" y="1342104"/>
            <a:chExt cx="3540125" cy="2591721"/>
          </a:xfrm>
        </xdr:grpSpPr>
        <xdr:graphicFrame macro="">
          <xdr:nvGraphicFramePr>
            <xdr:cNvPr id="188" name="Chart 187">
              <a:extLst>
                <a:ext uri="{FF2B5EF4-FFF2-40B4-BE49-F238E27FC236}">
                  <a16:creationId xmlns:a16="http://schemas.microsoft.com/office/drawing/2014/main" id="{00000000-0008-0000-0200-0000BC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89" name="TextBox 188">
              <a:extLst>
                <a:ext uri="{FF2B5EF4-FFF2-40B4-BE49-F238E27FC236}">
                  <a16:creationId xmlns:a16="http://schemas.microsoft.com/office/drawing/2014/main" id="{00000000-0008-0000-0200-0000BD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10239375" y="2914651"/>
          <a:ext cx="3338322" cy="2126360"/>
          <a:chOff x="9163050" y="1218340"/>
          <a:chExt cx="3538728" cy="2722343"/>
        </a:xfrm>
      </xdr:grpSpPr>
      <xdr:graphicFrame macro="">
        <xdr:nvGraphicFramePr>
          <xdr:cNvPr id="191" name="Chart 190">
            <a:extLst>
              <a:ext uri="{FF2B5EF4-FFF2-40B4-BE49-F238E27FC236}">
                <a16:creationId xmlns:a16="http://schemas.microsoft.com/office/drawing/2014/main" id="{00000000-0008-0000-0200-0000BF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92" name="TextBox 191">
            <a:extLst>
              <a:ext uri="{FF2B5EF4-FFF2-40B4-BE49-F238E27FC236}">
                <a16:creationId xmlns:a16="http://schemas.microsoft.com/office/drawing/2014/main" id="{00000000-0008-0000-0200-0000C0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13373101" y="4581525"/>
          <a:ext cx="2085975" cy="2238375"/>
          <a:chOff x="4599590" y="4505325"/>
          <a:chExt cx="3039460" cy="1063588"/>
        </a:xfrm>
      </xdr:grpSpPr>
      <xdr:sp macro="" textlink="">
        <xdr:nvSpPr>
          <xdr:cNvPr id="195" name="Round Same Side Corner Rectangle 194">
            <a:extLst>
              <a:ext uri="{FF2B5EF4-FFF2-40B4-BE49-F238E27FC236}">
                <a16:creationId xmlns:a16="http://schemas.microsoft.com/office/drawing/2014/main" id="{00000000-0008-0000-0200-0000C3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96" name="Rectangle 195">
            <a:extLst>
              <a:ext uri="{FF2B5EF4-FFF2-40B4-BE49-F238E27FC236}">
                <a16:creationId xmlns:a16="http://schemas.microsoft.com/office/drawing/2014/main" id="{00000000-0008-0000-0200-0000C4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Jan">
      <xdr:nvSpPr>
        <xdr:cNvPr id="197" name="Rounded Rectangle 196">
          <a:extLst>
            <a:ext uri="{FF2B5EF4-FFF2-40B4-BE49-F238E27FC236}">
              <a16:creationId xmlns:a16="http://schemas.microsoft.com/office/drawing/2014/main" id="{00000000-0008-0000-0200-0000C5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9B3107B2-86BB-4BF9-86C1-EA441353761F}"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98" name="TextBox 197">
          <a:extLst>
            <a:ext uri="{FF2B5EF4-FFF2-40B4-BE49-F238E27FC236}">
              <a16:creationId xmlns:a16="http://schemas.microsoft.com/office/drawing/2014/main" id="{00000000-0008-0000-0200-0000C6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99" name="TextBox 198">
          <a:extLst>
            <a:ext uri="{FF2B5EF4-FFF2-40B4-BE49-F238E27FC236}">
              <a16:creationId xmlns:a16="http://schemas.microsoft.com/office/drawing/2014/main" id="{00000000-0008-0000-0200-0000C7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200" name="TextBox 199">
          <a:extLst>
            <a:ext uri="{FF2B5EF4-FFF2-40B4-BE49-F238E27FC236}">
              <a16:creationId xmlns:a16="http://schemas.microsoft.com/office/drawing/2014/main" id="{00000000-0008-0000-0200-0000C8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201" name="TextBox 200">
          <a:extLst>
            <a:ext uri="{FF2B5EF4-FFF2-40B4-BE49-F238E27FC236}">
              <a16:creationId xmlns:a16="http://schemas.microsoft.com/office/drawing/2014/main" id="{00000000-0008-0000-0200-0000C9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204" name="Round Diagonal Corner Rectangle 203">
          <a:hlinkClick xmlns:r="http://schemas.openxmlformats.org/officeDocument/2006/relationships" r:id="rId7"/>
          <a:extLst>
            <a:ext uri="{FF2B5EF4-FFF2-40B4-BE49-F238E27FC236}">
              <a16:creationId xmlns:a16="http://schemas.microsoft.com/office/drawing/2014/main" id="{00000000-0008-0000-0200-0000CC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205" name="Round Diagonal Corner Rectangle 204">
          <a:hlinkClick xmlns:r="http://schemas.openxmlformats.org/officeDocument/2006/relationships" r:id="rId8"/>
          <a:extLst>
            <a:ext uri="{FF2B5EF4-FFF2-40B4-BE49-F238E27FC236}">
              <a16:creationId xmlns:a16="http://schemas.microsoft.com/office/drawing/2014/main" id="{00000000-0008-0000-0200-0000CD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206" name="Round Diagonal Corner Rectangle 205">
          <a:hlinkClick xmlns:r="http://schemas.openxmlformats.org/officeDocument/2006/relationships" r:id="rId9"/>
          <a:extLst>
            <a:ext uri="{FF2B5EF4-FFF2-40B4-BE49-F238E27FC236}">
              <a16:creationId xmlns:a16="http://schemas.microsoft.com/office/drawing/2014/main" id="{00000000-0008-0000-0200-0000CE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207" name="Round Diagonal Corner Rectangle 206">
          <a:hlinkClick xmlns:r="http://schemas.openxmlformats.org/officeDocument/2006/relationships" r:id="rId10"/>
          <a:extLst>
            <a:ext uri="{FF2B5EF4-FFF2-40B4-BE49-F238E27FC236}">
              <a16:creationId xmlns:a16="http://schemas.microsoft.com/office/drawing/2014/main" id="{00000000-0008-0000-0200-0000CF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0.34627</cdr:x>
      <cdr:y>0.31416</cdr:y>
    </cdr:from>
    <cdr:to>
      <cdr:x>0.73433</cdr:x>
      <cdr:y>0.68142</cdr:y>
    </cdr:to>
    <cdr:sp macro="" textlink="'Financial Scorecard'!$AC$26">
      <cdr:nvSpPr>
        <cdr:cNvPr id="2" name="TextBox 1"/>
        <cdr:cNvSpPr txBox="1"/>
      </cdr:nvSpPr>
      <cdr:spPr>
        <a:xfrm xmlns:a="http://schemas.openxmlformats.org/drawingml/2006/main">
          <a:off x="1104902" y="676275"/>
          <a:ext cx="1238248" cy="79058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EDC062B-FF03-4135-81CC-94FED8429A68}" type="TxLink">
            <a:rPr lang="en-US" sz="3200" b="1" i="0" u="none" strike="noStrike">
              <a:solidFill>
                <a:srgbClr val="C00000"/>
              </a:solidFill>
              <a:latin typeface="Century Gothic"/>
            </a:rPr>
            <a:pPr algn="ctr"/>
            <a:t> </a:t>
          </a:fld>
          <a:endParaRPr lang="en-ZA" sz="3200" b="1">
            <a:solidFill>
              <a:srgbClr val="C00000"/>
            </a:solidFill>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0.28974</cdr:x>
      <cdr:y>0.38554</cdr:y>
    </cdr:from>
    <cdr:to>
      <cdr:x>0.68742</cdr:x>
      <cdr:y>0.70281</cdr:y>
    </cdr:to>
    <cdr:sp macro="" textlink="'Financial Scorecard'!$AD$26">
      <cdr:nvSpPr>
        <cdr:cNvPr id="2" name="TextBox 1"/>
        <cdr:cNvSpPr txBox="1"/>
      </cdr:nvSpPr>
      <cdr:spPr>
        <a:xfrm xmlns:a="http://schemas.openxmlformats.org/drawingml/2006/main">
          <a:off x="971534" y="914401"/>
          <a:ext cx="1333516" cy="7524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35731E5-E442-4253-ADDE-E57AF984F429}" type="TxLink">
            <a:rPr lang="en-US" sz="3200" b="1" i="0" u="none" strike="noStrike">
              <a:solidFill>
                <a:srgbClr val="FF0000"/>
              </a:solidFill>
              <a:latin typeface="Century Gothic" panose="020B0502020202020204" pitchFamily="34" charset="0"/>
            </a:rPr>
            <a:pPr algn="ctr"/>
            <a:t> </a:t>
          </a:fld>
          <a:endParaRPr lang="en-ZA" sz="3200" b="1">
            <a:solidFill>
              <a:srgbClr val="FF0000"/>
            </a:solidFill>
            <a:latin typeface="Century Gothic" panose="020B0502020202020204" pitchFamily="34"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0.31653</cdr:x>
      <cdr:y>0.31496</cdr:y>
    </cdr:from>
    <cdr:to>
      <cdr:x>0.67507</cdr:x>
      <cdr:y>0.68111</cdr:y>
    </cdr:to>
    <cdr:sp macro="" textlink="'Financial Scorecard'!$AE$26">
      <cdr:nvSpPr>
        <cdr:cNvPr id="2" name="TextBox 1"/>
        <cdr:cNvSpPr txBox="1"/>
      </cdr:nvSpPr>
      <cdr:spPr>
        <a:xfrm xmlns:a="http://schemas.openxmlformats.org/drawingml/2006/main">
          <a:off x="1076328" y="762000"/>
          <a:ext cx="1219196" cy="88583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C37271B-666B-4FCB-8B96-F8E10CF62A88}" type="TxLink">
            <a:rPr lang="en-US" sz="3200" b="1" i="0" u="none" strike="noStrike">
              <a:solidFill>
                <a:srgbClr val="FF5050"/>
              </a:solidFill>
              <a:latin typeface="Century Gothic" panose="020B0502020202020204" pitchFamily="34" charset="0"/>
            </a:rPr>
            <a:pPr algn="ctr"/>
            <a:t>0%</a:t>
          </a:fld>
          <a:endParaRPr lang="en-ZA" sz="3200" b="1">
            <a:solidFill>
              <a:srgbClr val="FF5050"/>
            </a:solidFill>
            <a:latin typeface="Century Gothic" panose="020B0502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1</xdr:col>
      <xdr:colOff>28575</xdr:colOff>
      <xdr:row>2</xdr:row>
      <xdr:rowOff>85725</xdr:rowOff>
    </xdr:from>
    <xdr:to>
      <xdr:col>2</xdr:col>
      <xdr:colOff>276225</xdr:colOff>
      <xdr:row>6</xdr:row>
      <xdr:rowOff>10949</xdr:rowOff>
    </xdr:to>
    <xdr:pic>
      <xdr:nvPicPr>
        <xdr:cNvPr id="4" name="Picture 3" descr="ARCHIMEDES:BLAH:ASISA:FOUNDATION &amp; ED FUND STRATEGY:FOUNDATION LETTERHEAD:ASISA FOUNDATION LH.pn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85775"/>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533400</xdr:colOff>
      <xdr:row>2</xdr:row>
      <xdr:rowOff>38100</xdr:rowOff>
    </xdr:from>
    <xdr:to>
      <xdr:col>22</xdr:col>
      <xdr:colOff>685800</xdr:colOff>
      <xdr:row>6</xdr:row>
      <xdr:rowOff>48014</xdr:rowOff>
    </xdr:to>
    <xdr:pic>
      <xdr:nvPicPr>
        <xdr:cNvPr id="5" name="Picture 4">
          <a:extLst>
            <a:ext uri="{FF2B5EF4-FFF2-40B4-BE49-F238E27FC236}">
              <a16:creationId xmlns:a16="http://schemas.microsoft.com/office/drawing/2014/main" id="{00000000-0008-0000-1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2639675" y="438150"/>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9</xdr:col>
      <xdr:colOff>146049</xdr:colOff>
      <xdr:row>8</xdr:row>
      <xdr:rowOff>38100</xdr:rowOff>
    </xdr:from>
    <xdr:to>
      <xdr:col>15</xdr:col>
      <xdr:colOff>28574</xdr:colOff>
      <xdr:row>19</xdr:row>
      <xdr:rowOff>133350</xdr:rowOff>
    </xdr:to>
    <xdr:grpSp>
      <xdr:nvGrpSpPr>
        <xdr:cNvPr id="11" name="Group 10">
          <a:extLst>
            <a:ext uri="{FF2B5EF4-FFF2-40B4-BE49-F238E27FC236}">
              <a16:creationId xmlns:a16="http://schemas.microsoft.com/office/drawing/2014/main" id="{00000000-0008-0000-1000-00000B000000}"/>
            </a:ext>
          </a:extLst>
        </xdr:cNvPr>
        <xdr:cNvGrpSpPr/>
      </xdr:nvGrpSpPr>
      <xdr:grpSpPr>
        <a:xfrm>
          <a:off x="7175499" y="1638300"/>
          <a:ext cx="4168775" cy="2295525"/>
          <a:chOff x="6927849" y="1638300"/>
          <a:chExt cx="3540125" cy="2295525"/>
        </a:xfrm>
      </xdr:grpSpPr>
      <xdr:sp macro="" textlink="Actual_Perc_Goal">
        <xdr:nvSpPr>
          <xdr:cNvPr id="3" name="TextBox 2">
            <a:extLst>
              <a:ext uri="{FF2B5EF4-FFF2-40B4-BE49-F238E27FC236}">
                <a16:creationId xmlns:a16="http://schemas.microsoft.com/office/drawing/2014/main" id="{00000000-0008-0000-1000-000003000000}"/>
              </a:ext>
            </a:extLst>
          </xdr:cNvPr>
          <xdr:cNvSpPr txBox="1"/>
        </xdr:nvSpPr>
        <xdr:spPr>
          <a:xfrm>
            <a:off x="8020050" y="2628901"/>
            <a:ext cx="10572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3200" b="1" i="0" u="none" strike="noStrike">
                <a:solidFill>
                  <a:srgbClr val="00B0F0"/>
                </a:solidFill>
                <a:latin typeface="Century Gothic"/>
              </a:rPr>
              <a:pPr algn="ctr"/>
              <a:t> </a:t>
            </a:fld>
            <a:endParaRPr lang="en-ZA" sz="4400" b="1">
              <a:solidFill>
                <a:srgbClr val="00B0F0"/>
              </a:solidFill>
            </a:endParaRPr>
          </a:p>
        </xdr:txBody>
      </xdr:sp>
      <xdr:grpSp>
        <xdr:nvGrpSpPr>
          <xdr:cNvPr id="9" name="Group 8">
            <a:extLst>
              <a:ext uri="{FF2B5EF4-FFF2-40B4-BE49-F238E27FC236}">
                <a16:creationId xmlns:a16="http://schemas.microsoft.com/office/drawing/2014/main" id="{00000000-0008-0000-1000-000009000000}"/>
              </a:ext>
            </a:extLst>
          </xdr:cNvPr>
          <xdr:cNvGrpSpPr/>
        </xdr:nvGrpSpPr>
        <xdr:grpSpPr>
          <a:xfrm>
            <a:off x="6927849" y="1638300"/>
            <a:ext cx="3540125" cy="2295525"/>
            <a:chOff x="4365624" y="1638300"/>
            <a:chExt cx="3540125" cy="2295525"/>
          </a:xfrm>
        </xdr:grpSpPr>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5048250" y="1638300"/>
              <a:ext cx="2057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100" b="1">
                  <a:solidFill>
                    <a:srgbClr val="00B0F0"/>
                  </a:solidFill>
                  <a:latin typeface="Century Gothic" panose="020B0502020202020204" pitchFamily="34" charset="0"/>
                </a:rPr>
                <a:t>SAVINGS TOWARDS GOALS</a:t>
              </a:r>
            </a:p>
          </xdr:txBody>
        </xdr:sp>
      </xdr:grpSp>
    </xdr:grpSp>
    <xdr:clientData/>
  </xdr:twoCellAnchor>
  <xdr:twoCellAnchor>
    <xdr:from>
      <xdr:col>17</xdr:col>
      <xdr:colOff>66675</xdr:colOff>
      <xdr:row>8</xdr:row>
      <xdr:rowOff>57150</xdr:rowOff>
    </xdr:from>
    <xdr:to>
      <xdr:col>22</xdr:col>
      <xdr:colOff>347853</xdr:colOff>
      <xdr:row>19</xdr:row>
      <xdr:rowOff>140208</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12811125" y="1657350"/>
          <a:ext cx="4043553" cy="2283333"/>
          <a:chOff x="9163050" y="1657350"/>
          <a:chExt cx="3538728" cy="2283333"/>
        </a:xfrm>
      </xdr:grpSpPr>
      <xdr:graphicFrame macro="">
        <xdr:nvGraphicFramePr>
          <xdr:cNvPr id="7" name="Chart 6">
            <a:extLst>
              <a:ext uri="{FF2B5EF4-FFF2-40B4-BE49-F238E27FC236}">
                <a16:creationId xmlns:a16="http://schemas.microsoft.com/office/drawing/2014/main" id="{00000000-0008-0000-1000-000007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9896475" y="1657350"/>
            <a:ext cx="2057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100" b="1">
                <a:solidFill>
                  <a:srgbClr val="0070C0"/>
                </a:solidFill>
                <a:latin typeface="Century Gothic" panose="020B0502020202020204" pitchFamily="34" charset="0"/>
              </a:rPr>
              <a:t>SAVINGS AND INVESTMENTS</a:t>
            </a:r>
          </a:p>
        </xdr:txBody>
      </xdr:sp>
    </xdr:grpSp>
    <xdr:clientData/>
  </xdr:twoCellAnchor>
  <xdr:twoCellAnchor>
    <xdr:from>
      <xdr:col>1</xdr:col>
      <xdr:colOff>0</xdr:colOff>
      <xdr:row>15</xdr:row>
      <xdr:rowOff>180975</xdr:rowOff>
    </xdr:from>
    <xdr:to>
      <xdr:col>1</xdr:col>
      <xdr:colOff>1419225</xdr:colOff>
      <xdr:row>18</xdr:row>
      <xdr:rowOff>47625</xdr:rowOff>
    </xdr:to>
    <xdr:sp macro="" textlink="">
      <xdr:nvSpPr>
        <xdr:cNvPr id="12" name="Round Diagonal Corner Rectangle 11">
          <a:hlinkClick xmlns:r="http://schemas.openxmlformats.org/officeDocument/2006/relationships" r:id="rId5"/>
          <a:extLst>
            <a:ext uri="{FF2B5EF4-FFF2-40B4-BE49-F238E27FC236}">
              <a16:creationId xmlns:a16="http://schemas.microsoft.com/office/drawing/2014/main" id="{00000000-0008-0000-1000-00000C000000}"/>
            </a:ext>
          </a:extLst>
        </xdr:cNvPr>
        <xdr:cNvSpPr/>
      </xdr:nvSpPr>
      <xdr:spPr>
        <a:xfrm>
          <a:off x="609600" y="3181350"/>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1</xdr:col>
      <xdr:colOff>1714500</xdr:colOff>
      <xdr:row>15</xdr:row>
      <xdr:rowOff>180975</xdr:rowOff>
    </xdr:from>
    <xdr:to>
      <xdr:col>5</xdr:col>
      <xdr:colOff>257175</xdr:colOff>
      <xdr:row>18</xdr:row>
      <xdr:rowOff>47625</xdr:rowOff>
    </xdr:to>
    <xdr:sp macro="" textlink="">
      <xdr:nvSpPr>
        <xdr:cNvPr id="13" name="Round Diagonal Corner Rectangle 12">
          <a:hlinkClick xmlns:r="http://schemas.openxmlformats.org/officeDocument/2006/relationships" r:id="rId6"/>
          <a:extLst>
            <a:ext uri="{FF2B5EF4-FFF2-40B4-BE49-F238E27FC236}">
              <a16:creationId xmlns:a16="http://schemas.microsoft.com/office/drawing/2014/main" id="{00000000-0008-0000-1000-00000D000000}"/>
            </a:ext>
          </a:extLst>
        </xdr:cNvPr>
        <xdr:cNvSpPr/>
      </xdr:nvSpPr>
      <xdr:spPr>
        <a:xfrm>
          <a:off x="2324100" y="3181350"/>
          <a:ext cx="2276475"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5</xdr:col>
      <xdr:colOff>504825</xdr:colOff>
      <xdr:row>15</xdr:row>
      <xdr:rowOff>180975</xdr:rowOff>
    </xdr:from>
    <xdr:to>
      <xdr:col>9</xdr:col>
      <xdr:colOff>76200</xdr:colOff>
      <xdr:row>18</xdr:row>
      <xdr:rowOff>47625</xdr:rowOff>
    </xdr:to>
    <xdr:sp macro="" textlink="">
      <xdr:nvSpPr>
        <xdr:cNvPr id="15" name="Round Diagonal Corner Rectangle 14">
          <a:hlinkClick xmlns:r="http://schemas.openxmlformats.org/officeDocument/2006/relationships" r:id="rId7"/>
          <a:extLst>
            <a:ext uri="{FF2B5EF4-FFF2-40B4-BE49-F238E27FC236}">
              <a16:creationId xmlns:a16="http://schemas.microsoft.com/office/drawing/2014/main" id="{00000000-0008-0000-1000-00000F000000}"/>
            </a:ext>
          </a:extLst>
        </xdr:cNvPr>
        <xdr:cNvSpPr/>
      </xdr:nvSpPr>
      <xdr:spPr>
        <a:xfrm>
          <a:off x="4848225" y="3181350"/>
          <a:ext cx="20097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wsDr>
</file>

<file path=xl/drawings/drawing34.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3200" b="1" i="0" u="none" strike="noStrike">
              <a:solidFill>
                <a:srgbClr val="0070C0"/>
              </a:solidFill>
              <a:latin typeface="Century Gothic"/>
            </a:rPr>
            <a:pPr algn="ctr"/>
            <a:t> </a:t>
          </a:fld>
          <a:endParaRPr lang="en-ZA" sz="3200" b="1">
            <a:solidFill>
              <a:srgbClr val="0070C0"/>
            </a:solidFill>
          </a:endParaRPr>
        </a:p>
      </cdr:txBody>
    </cdr:sp>
  </cdr:relSizeAnchor>
</c:userShapes>
</file>

<file path=xl/drawings/drawing35.xml><?xml version="1.0" encoding="utf-8"?>
<xdr:wsDr xmlns:xdr="http://schemas.openxmlformats.org/drawingml/2006/spreadsheetDrawing" xmlns:a="http://schemas.openxmlformats.org/drawingml/2006/main">
  <xdr:twoCellAnchor editAs="oneCell">
    <xdr:from>
      <xdr:col>19</xdr:col>
      <xdr:colOff>533400</xdr:colOff>
      <xdr:row>2</xdr:row>
      <xdr:rowOff>38100</xdr:rowOff>
    </xdr:from>
    <xdr:to>
      <xdr:col>23</xdr:col>
      <xdr:colOff>104775</xdr:colOff>
      <xdr:row>6</xdr:row>
      <xdr:rowOff>48014</xdr:rowOff>
    </xdr:to>
    <xdr:pic>
      <xdr:nvPicPr>
        <xdr:cNvPr id="3" name="Picture 2">
          <a:extLst>
            <a:ext uri="{FF2B5EF4-FFF2-40B4-BE49-F238E27FC236}">
              <a16:creationId xmlns:a16="http://schemas.microsoft.com/office/drawing/2014/main" id="{00000000-0008-0000-1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396" t="39734" r="19473" b="31228"/>
        <a:stretch/>
      </xdr:blipFill>
      <xdr:spPr bwMode="auto">
        <a:xfrm>
          <a:off x="13411200" y="438150"/>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xdr:col>
      <xdr:colOff>57150</xdr:colOff>
      <xdr:row>16</xdr:row>
      <xdr:rowOff>38100</xdr:rowOff>
    </xdr:from>
    <xdr:to>
      <xdr:col>3</xdr:col>
      <xdr:colOff>85725</xdr:colOff>
      <xdr:row>18</xdr:row>
      <xdr:rowOff>104775</xdr:rowOff>
    </xdr:to>
    <xdr:sp macro="" textlink="">
      <xdr:nvSpPr>
        <xdr:cNvPr id="12" name="Round Diagonal Corner Rectangle 11">
          <a:hlinkClick xmlns:r="http://schemas.openxmlformats.org/officeDocument/2006/relationships" r:id="rId2"/>
          <a:extLst>
            <a:ext uri="{FF2B5EF4-FFF2-40B4-BE49-F238E27FC236}">
              <a16:creationId xmlns:a16="http://schemas.microsoft.com/office/drawing/2014/main" id="{00000000-0008-0000-1100-00000C000000}"/>
            </a:ext>
          </a:extLst>
        </xdr:cNvPr>
        <xdr:cNvSpPr/>
      </xdr:nvSpPr>
      <xdr:spPr>
        <a:xfrm>
          <a:off x="666750" y="3238500"/>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3</xdr:col>
      <xdr:colOff>381000</xdr:colOff>
      <xdr:row>16</xdr:row>
      <xdr:rowOff>38100</xdr:rowOff>
    </xdr:from>
    <xdr:to>
      <xdr:col>5</xdr:col>
      <xdr:colOff>609600</xdr:colOff>
      <xdr:row>18</xdr:row>
      <xdr:rowOff>104775</xdr:rowOff>
    </xdr:to>
    <xdr:sp macro="" textlink="">
      <xdr:nvSpPr>
        <xdr:cNvPr id="13" name="Round Diagonal Corner Rectangle 12">
          <a:hlinkClick xmlns:r="http://schemas.openxmlformats.org/officeDocument/2006/relationships" r:id="rId3"/>
          <a:extLst>
            <a:ext uri="{FF2B5EF4-FFF2-40B4-BE49-F238E27FC236}">
              <a16:creationId xmlns:a16="http://schemas.microsoft.com/office/drawing/2014/main" id="{00000000-0008-0000-1100-00000D000000}"/>
            </a:ext>
          </a:extLst>
        </xdr:cNvPr>
        <xdr:cNvSpPr/>
      </xdr:nvSpPr>
      <xdr:spPr>
        <a:xfrm>
          <a:off x="2381250" y="3238500"/>
          <a:ext cx="2276475"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5</xdr:col>
      <xdr:colOff>885825</xdr:colOff>
      <xdr:row>16</xdr:row>
      <xdr:rowOff>19050</xdr:rowOff>
    </xdr:from>
    <xdr:to>
      <xdr:col>7</xdr:col>
      <xdr:colOff>523875</xdr:colOff>
      <xdr:row>18</xdr:row>
      <xdr:rowOff>85725</xdr:rowOff>
    </xdr:to>
    <xdr:sp macro="" textlink="">
      <xdr:nvSpPr>
        <xdr:cNvPr id="14" name="Round Diagonal Corner Rectangle 13">
          <a:hlinkClick xmlns:r="http://schemas.openxmlformats.org/officeDocument/2006/relationships" r:id="rId4"/>
          <a:extLst>
            <a:ext uri="{FF2B5EF4-FFF2-40B4-BE49-F238E27FC236}">
              <a16:creationId xmlns:a16="http://schemas.microsoft.com/office/drawing/2014/main" id="{00000000-0008-0000-1100-00000E000000}"/>
            </a:ext>
          </a:extLst>
        </xdr:cNvPr>
        <xdr:cNvSpPr/>
      </xdr:nvSpPr>
      <xdr:spPr>
        <a:xfrm>
          <a:off x="4933950" y="3219450"/>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838200</xdr:colOff>
      <xdr:row>16</xdr:row>
      <xdr:rowOff>38100</xdr:rowOff>
    </xdr:from>
    <xdr:to>
      <xdr:col>12</xdr:col>
      <xdr:colOff>0</xdr:colOff>
      <xdr:row>18</xdr:row>
      <xdr:rowOff>104775</xdr:rowOff>
    </xdr:to>
    <xdr:sp macro="" textlink="">
      <xdr:nvSpPr>
        <xdr:cNvPr id="15" name="Round Diagonal Corner Rectangle 14">
          <a:hlinkClick xmlns:r="http://schemas.openxmlformats.org/officeDocument/2006/relationships" r:id="rId5"/>
          <a:extLst>
            <a:ext uri="{FF2B5EF4-FFF2-40B4-BE49-F238E27FC236}">
              <a16:creationId xmlns:a16="http://schemas.microsoft.com/office/drawing/2014/main" id="{00000000-0008-0000-1100-00000F000000}"/>
            </a:ext>
          </a:extLst>
        </xdr:cNvPr>
        <xdr:cNvSpPr/>
      </xdr:nvSpPr>
      <xdr:spPr>
        <a:xfrm>
          <a:off x="6667500" y="3238500"/>
          <a:ext cx="20097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123825</xdr:colOff>
      <xdr:row>0</xdr:row>
      <xdr:rowOff>19050</xdr:rowOff>
    </xdr:from>
    <xdr:ext cx="2356139" cy="820363"/>
    <xdr:pic>
      <xdr:nvPicPr>
        <xdr:cNvPr id="2" name="Picture 1" descr="ARCHIMEDES:BLAH:ASISA:FOUNDATION &amp; ED FUND STRATEGY:FOUNDATION LETTERHEAD:ASISA FOUNDATION LH.pn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9050"/>
          <a:ext cx="2356139" cy="82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20</xdr:col>
      <xdr:colOff>409575</xdr:colOff>
      <xdr:row>0</xdr:row>
      <xdr:rowOff>0</xdr:rowOff>
    </xdr:from>
    <xdr:to>
      <xdr:col>24</xdr:col>
      <xdr:colOff>457200</xdr:colOff>
      <xdr:row>4</xdr:row>
      <xdr:rowOff>86114</xdr:rowOff>
    </xdr:to>
    <xdr:pic>
      <xdr:nvPicPr>
        <xdr:cNvPr id="3" name="Picture 2">
          <a:extLst>
            <a:ext uri="{FF2B5EF4-FFF2-40B4-BE49-F238E27FC236}">
              <a16:creationId xmlns:a16="http://schemas.microsoft.com/office/drawing/2014/main" id="{00000000-0008-0000-12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4963775" y="0"/>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142875</xdr:colOff>
      <xdr:row>6</xdr:row>
      <xdr:rowOff>38100</xdr:rowOff>
    </xdr:from>
    <xdr:to>
      <xdr:col>2</xdr:col>
      <xdr:colOff>342900</xdr:colOff>
      <xdr:row>8</xdr:row>
      <xdr:rowOff>142875</xdr:rowOff>
    </xdr:to>
    <xdr:sp macro="" textlink="">
      <xdr:nvSpPr>
        <xdr:cNvPr id="5" name="Round Diagonal Corner Rectangle 4">
          <a:hlinkClick xmlns:r="http://schemas.openxmlformats.org/officeDocument/2006/relationships" r:id="rId3"/>
          <a:extLst>
            <a:ext uri="{FF2B5EF4-FFF2-40B4-BE49-F238E27FC236}">
              <a16:creationId xmlns:a16="http://schemas.microsoft.com/office/drawing/2014/main" id="{00000000-0008-0000-1200-000005000000}"/>
            </a:ext>
          </a:extLst>
        </xdr:cNvPr>
        <xdr:cNvSpPr/>
      </xdr:nvSpPr>
      <xdr:spPr>
        <a:xfrm>
          <a:off x="142875" y="1123950"/>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3</xdr:col>
      <xdr:colOff>28575</xdr:colOff>
      <xdr:row>6</xdr:row>
      <xdr:rowOff>38100</xdr:rowOff>
    </xdr:from>
    <xdr:to>
      <xdr:col>6</xdr:col>
      <xdr:colOff>476250</xdr:colOff>
      <xdr:row>8</xdr:row>
      <xdr:rowOff>142875</xdr:rowOff>
    </xdr:to>
    <xdr:sp macro="" textlink="">
      <xdr:nvSpPr>
        <xdr:cNvPr id="6" name="Round Diagonal Corner Rectangle 5">
          <a:hlinkClick xmlns:r="http://schemas.openxmlformats.org/officeDocument/2006/relationships" r:id="rId4"/>
          <a:extLst>
            <a:ext uri="{FF2B5EF4-FFF2-40B4-BE49-F238E27FC236}">
              <a16:creationId xmlns:a16="http://schemas.microsoft.com/office/drawing/2014/main" id="{00000000-0008-0000-1200-000006000000}"/>
            </a:ext>
          </a:extLst>
        </xdr:cNvPr>
        <xdr:cNvSpPr/>
      </xdr:nvSpPr>
      <xdr:spPr>
        <a:xfrm>
          <a:off x="1857375" y="1123950"/>
          <a:ext cx="2276475"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7</xdr:col>
      <xdr:colOff>142875</xdr:colOff>
      <xdr:row>6</xdr:row>
      <xdr:rowOff>19050</xdr:rowOff>
    </xdr:from>
    <xdr:to>
      <xdr:col>9</xdr:col>
      <xdr:colOff>342900</xdr:colOff>
      <xdr:row>8</xdr:row>
      <xdr:rowOff>123825</xdr:rowOff>
    </xdr:to>
    <xdr:sp macro="" textlink="">
      <xdr:nvSpPr>
        <xdr:cNvPr id="7" name="Round Diagonal Corner Rectangle 6">
          <a:hlinkClick xmlns:r="http://schemas.openxmlformats.org/officeDocument/2006/relationships" r:id="rId5"/>
          <a:extLst>
            <a:ext uri="{FF2B5EF4-FFF2-40B4-BE49-F238E27FC236}">
              <a16:creationId xmlns:a16="http://schemas.microsoft.com/office/drawing/2014/main" id="{00000000-0008-0000-1200-000007000000}"/>
            </a:ext>
          </a:extLst>
        </xdr:cNvPr>
        <xdr:cNvSpPr/>
      </xdr:nvSpPr>
      <xdr:spPr>
        <a:xfrm>
          <a:off x="4410075" y="1104900"/>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10</xdr:col>
      <xdr:colOff>47625</xdr:colOff>
      <xdr:row>6</xdr:row>
      <xdr:rowOff>38100</xdr:rowOff>
    </xdr:from>
    <xdr:to>
      <xdr:col>13</xdr:col>
      <xdr:colOff>228600</xdr:colOff>
      <xdr:row>8</xdr:row>
      <xdr:rowOff>142875</xdr:rowOff>
    </xdr:to>
    <xdr:sp macro="" textlink="">
      <xdr:nvSpPr>
        <xdr:cNvPr id="8" name="Round Diagonal Corner Rectangle 7">
          <a:hlinkClick xmlns:r="http://schemas.openxmlformats.org/officeDocument/2006/relationships" r:id="rId6"/>
          <a:extLst>
            <a:ext uri="{FF2B5EF4-FFF2-40B4-BE49-F238E27FC236}">
              <a16:creationId xmlns:a16="http://schemas.microsoft.com/office/drawing/2014/main" id="{00000000-0008-0000-1200-000008000000}"/>
            </a:ext>
          </a:extLst>
        </xdr:cNvPr>
        <xdr:cNvSpPr/>
      </xdr:nvSpPr>
      <xdr:spPr>
        <a:xfrm>
          <a:off x="6143625" y="1123950"/>
          <a:ext cx="20097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159844</xdr:colOff>
      <xdr:row>18</xdr:row>
      <xdr:rowOff>5269</xdr:rowOff>
    </xdr:from>
    <xdr:to>
      <xdr:col>2</xdr:col>
      <xdr:colOff>505792</xdr:colOff>
      <xdr:row>20</xdr:row>
      <xdr:rowOff>52214</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2302969" y="3605719"/>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3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3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3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1507436</xdr:colOff>
      <xdr:row>20</xdr:row>
      <xdr:rowOff>46846</xdr:rowOff>
    </xdr:from>
    <xdr:to>
      <xdr:col>2</xdr:col>
      <xdr:colOff>676275</xdr:colOff>
      <xdr:row>22</xdr:row>
      <xdr:rowOff>1345</xdr:rowOff>
    </xdr:to>
    <xdr:sp macro="" textlink="$Y$49">
      <xdr:nvSpPr>
        <xdr:cNvPr id="11" name="Rounded Rectangle 10">
          <a:extLst>
            <a:ext uri="{FF2B5EF4-FFF2-40B4-BE49-F238E27FC236}">
              <a16:creationId xmlns:a16="http://schemas.microsoft.com/office/drawing/2014/main" id="{00000000-0008-0000-0300-00000B000000}"/>
            </a:ext>
          </a:extLst>
        </xdr:cNvPr>
        <xdr:cNvSpPr/>
      </xdr:nvSpPr>
      <xdr:spPr>
        <a:xfrm>
          <a:off x="2117036" y="4047346"/>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1340663</xdr:colOff>
      <xdr:row>22</xdr:row>
      <xdr:rowOff>38308</xdr:rowOff>
    </xdr:from>
    <xdr:to>
      <xdr:col>2</xdr:col>
      <xdr:colOff>778529</xdr:colOff>
      <xdr:row>23</xdr:row>
      <xdr:rowOff>39424</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95026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876300</xdr:colOff>
      <xdr:row>14</xdr:row>
      <xdr:rowOff>152400</xdr:rowOff>
    </xdr:from>
    <xdr:to>
      <xdr:col>3</xdr:col>
      <xdr:colOff>545211</xdr:colOff>
      <xdr:row>21</xdr:row>
      <xdr:rowOff>143927</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1485900" y="2952750"/>
          <a:ext cx="2050161" cy="1391702"/>
          <a:chOff x="2609850" y="3810000"/>
          <a:chExt cx="1812036" cy="1391702"/>
        </a:xfrm>
      </xdr:grpSpPr>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3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3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3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3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3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3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3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3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3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3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3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3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3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3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3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3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3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3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3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Feb">
      <xdr:nvSpPr>
        <xdr:cNvPr id="105" name="Rounded Rectangle 104">
          <a:extLst>
            <a:ext uri="{FF2B5EF4-FFF2-40B4-BE49-F238E27FC236}">
              <a16:creationId xmlns:a16="http://schemas.microsoft.com/office/drawing/2014/main" id="{00000000-0008-0000-03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BF0B5192-6140-43F8-B3BD-691703C53D02}" type="TxLink">
            <a:rPr lang="en-US" sz="1200" b="1" i="0" u="none" strike="noStrike">
              <a:solidFill>
                <a:srgbClr val="FF0000"/>
              </a:solidFill>
              <a:latin typeface="Century Gothic"/>
            </a:rPr>
            <a:pPr algn="ctr"/>
            <a:t> R -400,00 </a:t>
          </a:fld>
          <a:endParaRPr lang="en-US" sz="20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3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3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3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3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628650</xdr:colOff>
      <xdr:row>12</xdr:row>
      <xdr:rowOff>114300</xdr:rowOff>
    </xdr:from>
    <xdr:to>
      <xdr:col>3</xdr:col>
      <xdr:colOff>786195</xdr:colOff>
      <xdr:row>25</xdr:row>
      <xdr:rowOff>19051</xdr:rowOff>
    </xdr:to>
    <xdr:grpSp>
      <xdr:nvGrpSpPr>
        <xdr:cNvPr id="114" name="Group 113">
          <a:extLst>
            <a:ext uri="{FF2B5EF4-FFF2-40B4-BE49-F238E27FC236}">
              <a16:creationId xmlns:a16="http://schemas.microsoft.com/office/drawing/2014/main" id="{00000000-0008-0000-0300-000072000000}"/>
            </a:ext>
          </a:extLst>
        </xdr:cNvPr>
        <xdr:cNvGrpSpPr/>
      </xdr:nvGrpSpPr>
      <xdr:grpSpPr>
        <a:xfrm>
          <a:off x="1238250" y="251460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3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3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3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3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3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3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3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3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3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3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3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3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3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3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3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3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3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3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3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3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3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3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3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3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3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3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3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3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3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3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3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3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3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3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3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3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3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3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3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3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3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3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3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3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3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3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3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3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3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3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3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3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3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3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3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3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6.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131269</xdr:colOff>
      <xdr:row>17</xdr:row>
      <xdr:rowOff>129094</xdr:rowOff>
    </xdr:from>
    <xdr:to>
      <xdr:col>2</xdr:col>
      <xdr:colOff>477217</xdr:colOff>
      <xdr:row>19</xdr:row>
      <xdr:rowOff>176039</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274394" y="3529519"/>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4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4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4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1421711</xdr:colOff>
      <xdr:row>19</xdr:row>
      <xdr:rowOff>189721</xdr:rowOff>
    </xdr:from>
    <xdr:to>
      <xdr:col>2</xdr:col>
      <xdr:colOff>590550</xdr:colOff>
      <xdr:row>21</xdr:row>
      <xdr:rowOff>144220</xdr:rowOff>
    </xdr:to>
    <xdr:sp macro="" textlink="$Y$49">
      <xdr:nvSpPr>
        <xdr:cNvPr id="11" name="Rounded Rectangle 10">
          <a:extLst>
            <a:ext uri="{FF2B5EF4-FFF2-40B4-BE49-F238E27FC236}">
              <a16:creationId xmlns:a16="http://schemas.microsoft.com/office/drawing/2014/main" id="{00000000-0008-0000-0400-00000B000000}"/>
            </a:ext>
          </a:extLst>
        </xdr:cNvPr>
        <xdr:cNvSpPr/>
      </xdr:nvSpPr>
      <xdr:spPr>
        <a:xfrm>
          <a:off x="2031311" y="3990196"/>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1112063</xdr:colOff>
      <xdr:row>22</xdr:row>
      <xdr:rowOff>38308</xdr:rowOff>
    </xdr:from>
    <xdr:to>
      <xdr:col>2</xdr:col>
      <xdr:colOff>549929</xdr:colOff>
      <xdr:row>23</xdr:row>
      <xdr:rowOff>39424</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72166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904875</xdr:colOff>
      <xdr:row>14</xdr:row>
      <xdr:rowOff>152400</xdr:rowOff>
    </xdr:from>
    <xdr:to>
      <xdr:col>3</xdr:col>
      <xdr:colOff>573786</xdr:colOff>
      <xdr:row>21</xdr:row>
      <xdr:rowOff>143927</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1514475" y="2952750"/>
          <a:ext cx="2050161" cy="1391702"/>
          <a:chOff x="2609850" y="3810000"/>
          <a:chExt cx="1812036" cy="1391702"/>
        </a:xfrm>
      </xdr:grpSpPr>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4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4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4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4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4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4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4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4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4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4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4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4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4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4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4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4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4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4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4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4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4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Mar">
      <xdr:nvSpPr>
        <xdr:cNvPr id="105" name="Rounded Rectangle 104">
          <a:extLst>
            <a:ext uri="{FF2B5EF4-FFF2-40B4-BE49-F238E27FC236}">
              <a16:creationId xmlns:a16="http://schemas.microsoft.com/office/drawing/2014/main" id="{00000000-0008-0000-04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0DD75A7E-3F68-4EE8-9C0B-89DEB358D081}"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4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4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4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4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4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638175</xdr:colOff>
      <xdr:row>12</xdr:row>
      <xdr:rowOff>161925</xdr:rowOff>
    </xdr:from>
    <xdr:to>
      <xdr:col>3</xdr:col>
      <xdr:colOff>795720</xdr:colOff>
      <xdr:row>25</xdr:row>
      <xdr:rowOff>66676</xdr:rowOff>
    </xdr:to>
    <xdr:grpSp>
      <xdr:nvGrpSpPr>
        <xdr:cNvPr id="114" name="Group 113">
          <a:extLst>
            <a:ext uri="{FF2B5EF4-FFF2-40B4-BE49-F238E27FC236}">
              <a16:creationId xmlns:a16="http://schemas.microsoft.com/office/drawing/2014/main" id="{00000000-0008-0000-0400-000072000000}"/>
            </a:ext>
          </a:extLst>
        </xdr:cNvPr>
        <xdr:cNvGrpSpPr/>
      </xdr:nvGrpSpPr>
      <xdr:grpSpPr>
        <a:xfrm>
          <a:off x="1247775" y="2562225"/>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4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4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4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4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4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4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4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4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4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4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4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4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4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4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4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4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4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4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4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4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4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4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4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4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4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4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4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4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4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4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4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4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4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4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4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4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4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4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4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4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4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4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4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4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4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4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4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4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4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4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4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4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4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4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4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4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drawings/drawing8.xml><?xml version="1.0" encoding="utf-8"?>
<c:userShapes xmlns:c="http://schemas.openxmlformats.org/drawingml/2006/chart">
  <cdr:relSizeAnchor xmlns:cdr="http://schemas.openxmlformats.org/drawingml/2006/chartDrawing">
    <cdr:from>
      <cdr:x>0.33376</cdr:x>
      <cdr:y>0.41307</cdr:y>
    </cdr:from>
    <cdr:to>
      <cdr:x>0.63523</cdr:x>
      <cdr:y>0.70043</cdr:y>
    </cdr:to>
    <cdr:sp macro="" textlink="Actual_Perc_SavingInvestments">
      <cdr:nvSpPr>
        <cdr:cNvPr id="2" name="TextBox 1"/>
        <cdr:cNvSpPr txBox="1"/>
      </cdr:nvSpPr>
      <cdr:spPr>
        <a:xfrm xmlns:a="http://schemas.openxmlformats.org/drawingml/2006/main">
          <a:off x="1181100" y="876300"/>
          <a:ext cx="1066800" cy="609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33E64D5-9100-4D37-AE54-968DFB1D2788}" type="TxLink">
            <a:rPr lang="en-US" sz="2400" b="1" i="0" u="none" strike="noStrike">
              <a:solidFill>
                <a:srgbClr val="0070C0"/>
              </a:solidFill>
              <a:latin typeface="Century Gothic"/>
            </a:rPr>
            <a:pPr algn="ctr"/>
            <a:t> </a:t>
          </a:fld>
          <a:endParaRPr lang="en-ZA" sz="2400" b="1">
            <a:solidFill>
              <a:srgbClr val="0070C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28575</xdr:colOff>
      <xdr:row>2</xdr:row>
      <xdr:rowOff>95250</xdr:rowOff>
    </xdr:from>
    <xdr:to>
      <xdr:col>2</xdr:col>
      <xdr:colOff>485775</xdr:colOff>
      <xdr:row>6</xdr:row>
      <xdr:rowOff>20474</xdr:rowOff>
    </xdr:to>
    <xdr:pic>
      <xdr:nvPicPr>
        <xdr:cNvPr id="2" name="Picture 1" descr="ARCHIMEDES:BLAH:ASISA:FOUNDATION &amp; ED FUND STRATEGY:FOUNDATION LETTERHEAD:ASISA FOUNDATION LH.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95300"/>
          <a:ext cx="1990725" cy="72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552450</xdr:colOff>
      <xdr:row>2</xdr:row>
      <xdr:rowOff>47625</xdr:rowOff>
    </xdr:from>
    <xdr:to>
      <xdr:col>15</xdr:col>
      <xdr:colOff>180975</xdr:colOff>
      <xdr:row>6</xdr:row>
      <xdr:rowOff>57539</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396" t="39734" r="19473" b="31228"/>
        <a:stretch/>
      </xdr:blipFill>
      <xdr:spPr bwMode="auto">
        <a:xfrm>
          <a:off x="10239375" y="447675"/>
          <a:ext cx="2486025" cy="81001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1238250</xdr:colOff>
      <xdr:row>9</xdr:row>
      <xdr:rowOff>19050</xdr:rowOff>
    </xdr:from>
    <xdr:ext cx="737125" cy="257443"/>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847850" y="1819275"/>
          <a:ext cx="73712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INCOME</a:t>
          </a:r>
        </a:p>
      </xdr:txBody>
    </xdr:sp>
    <xdr:clientData/>
  </xdr:oneCellAnchor>
  <xdr:oneCellAnchor>
    <xdr:from>
      <xdr:col>1</xdr:col>
      <xdr:colOff>857250</xdr:colOff>
      <xdr:row>10</xdr:row>
      <xdr:rowOff>85725</xdr:rowOff>
    </xdr:from>
    <xdr:ext cx="1388778" cy="257443"/>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466850" y="2085975"/>
          <a:ext cx="138877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chemeClr val="accent3">
                  <a:lumMod val="50000"/>
                </a:schemeClr>
              </a:solidFill>
              <a:latin typeface="Century Gothic" panose="020B0502020202020204" pitchFamily="34" charset="0"/>
            </a:rPr>
            <a:t>% of</a:t>
          </a:r>
          <a:r>
            <a:rPr lang="en-ZA" sz="1050" b="1" baseline="0">
              <a:solidFill>
                <a:schemeClr val="accent3">
                  <a:lumMod val="50000"/>
                </a:schemeClr>
              </a:solidFill>
              <a:latin typeface="Century Gothic" panose="020B0502020202020204" pitchFamily="34" charset="0"/>
            </a:rPr>
            <a:t> income spent</a:t>
          </a:r>
          <a:endParaRPr lang="en-ZA" sz="1050" b="1">
            <a:solidFill>
              <a:schemeClr val="accent3">
                <a:lumMod val="50000"/>
              </a:schemeClr>
            </a:solidFill>
            <a:latin typeface="Century Gothic" panose="020B0502020202020204" pitchFamily="34" charset="0"/>
          </a:endParaRPr>
        </a:p>
      </xdr:txBody>
    </xdr:sp>
    <xdr:clientData/>
  </xdr:oneCellAnchor>
  <xdr:twoCellAnchor>
    <xdr:from>
      <xdr:col>0</xdr:col>
      <xdr:colOff>0</xdr:colOff>
      <xdr:row>12</xdr:row>
      <xdr:rowOff>104775</xdr:rowOff>
    </xdr:from>
    <xdr:to>
      <xdr:col>5</xdr:col>
      <xdr:colOff>174623</xdr:colOff>
      <xdr:row>25</xdr:row>
      <xdr:rowOff>95249</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121744</xdr:colOff>
      <xdr:row>17</xdr:row>
      <xdr:rowOff>157669</xdr:rowOff>
    </xdr:from>
    <xdr:to>
      <xdr:col>2</xdr:col>
      <xdr:colOff>467692</xdr:colOff>
      <xdr:row>20</xdr:row>
      <xdr:rowOff>4589</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2264869" y="3558094"/>
          <a:ext cx="345948" cy="446995"/>
          <a:chOff x="2705100" y="2581275"/>
          <a:chExt cx="457200" cy="590550"/>
        </a:xfrm>
      </xdr:grpSpPr>
      <xdr:sp macro="" textlink="">
        <xdr:nvSpPr>
          <xdr:cNvPr id="8" name="Oval 7">
            <a:extLst>
              <a:ext uri="{FF2B5EF4-FFF2-40B4-BE49-F238E27FC236}">
                <a16:creationId xmlns:a16="http://schemas.microsoft.com/office/drawing/2014/main" id="{00000000-0008-0000-0500-000008000000}"/>
              </a:ext>
            </a:extLst>
          </xdr:cNvPr>
          <xdr:cNvSpPr/>
        </xdr:nvSpPr>
        <xdr:spPr>
          <a:xfrm>
            <a:off x="2705100" y="2590800"/>
            <a:ext cx="457200" cy="457200"/>
          </a:xfrm>
          <a:prstGeom prst="ellipse">
            <a:avLst/>
          </a:prstGeom>
          <a:gradFill flip="none" rotWithShape="1">
            <a:gsLst>
              <a:gs pos="0">
                <a:schemeClr val="accent3">
                  <a:lumMod val="50000"/>
                </a:schemeClr>
              </a:gs>
              <a:gs pos="53000">
                <a:schemeClr val="accent3">
                  <a:lumMod val="75000"/>
                </a:schemeClr>
              </a:gs>
              <a:gs pos="100000">
                <a:schemeClr val="accent3">
                  <a:lumMod val="60000"/>
                  <a:lumOff val="4000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9" name="Oval 8">
            <a:extLst>
              <a:ext uri="{FF2B5EF4-FFF2-40B4-BE49-F238E27FC236}">
                <a16:creationId xmlns:a16="http://schemas.microsoft.com/office/drawing/2014/main" id="{00000000-0008-0000-0500-000009000000}"/>
              </a:ext>
            </a:extLst>
          </xdr:cNvPr>
          <xdr:cNvSpPr/>
        </xdr:nvSpPr>
        <xdr:spPr>
          <a:xfrm>
            <a:off x="2790825" y="2581275"/>
            <a:ext cx="276225" cy="276226"/>
          </a:xfrm>
          <a:prstGeom prst="ellipse">
            <a:avLst/>
          </a:prstGeom>
          <a:gradFill flip="none" rotWithShape="1">
            <a:gsLst>
              <a:gs pos="0">
                <a:schemeClr val="bg1">
                  <a:alpha val="57000"/>
                </a:schemeClr>
              </a:gs>
              <a:gs pos="100000">
                <a:schemeClr val="bg1">
                  <a:alpha val="0"/>
                </a:schemeClr>
              </a:gs>
            </a:gsLst>
            <a:path path="circle">
              <a:fillToRect r="100000" b="100000"/>
            </a:path>
            <a:tileRect l="-100000" t="-10000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0" name="Oval 9">
            <a:extLst>
              <a:ext uri="{FF2B5EF4-FFF2-40B4-BE49-F238E27FC236}">
                <a16:creationId xmlns:a16="http://schemas.microsoft.com/office/drawing/2014/main" id="{00000000-0008-0000-0500-00000A000000}"/>
              </a:ext>
            </a:extLst>
          </xdr:cNvPr>
          <xdr:cNvSpPr/>
        </xdr:nvSpPr>
        <xdr:spPr>
          <a:xfrm>
            <a:off x="2800350" y="2990850"/>
            <a:ext cx="266700" cy="180975"/>
          </a:xfrm>
          <a:prstGeom prst="ellipse">
            <a:avLst/>
          </a:prstGeom>
          <a:gradFill flip="none" rotWithShape="1">
            <a:gsLst>
              <a:gs pos="0">
                <a:schemeClr val="tx1"/>
              </a:gs>
              <a:gs pos="100000">
                <a:schemeClr val="bg1">
                  <a:alpha val="0"/>
                </a:schemeClr>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twoCellAnchor>
    <xdr:from>
      <xdr:col>1</xdr:col>
      <xdr:colOff>1450286</xdr:colOff>
      <xdr:row>19</xdr:row>
      <xdr:rowOff>199246</xdr:rowOff>
    </xdr:from>
    <xdr:to>
      <xdr:col>2</xdr:col>
      <xdr:colOff>619125</xdr:colOff>
      <xdr:row>21</xdr:row>
      <xdr:rowOff>153745</xdr:rowOff>
    </xdr:to>
    <xdr:sp macro="" textlink="$Y$49">
      <xdr:nvSpPr>
        <xdr:cNvPr id="11" name="Rounded Rectangle 10">
          <a:extLst>
            <a:ext uri="{FF2B5EF4-FFF2-40B4-BE49-F238E27FC236}">
              <a16:creationId xmlns:a16="http://schemas.microsoft.com/office/drawing/2014/main" id="{00000000-0008-0000-0500-00000B000000}"/>
            </a:ext>
          </a:extLst>
        </xdr:cNvPr>
        <xdr:cNvSpPr/>
      </xdr:nvSpPr>
      <xdr:spPr>
        <a:xfrm>
          <a:off x="2059886" y="3999721"/>
          <a:ext cx="702364" cy="354549"/>
        </a:xfrm>
        <a:prstGeom prst="roundRect">
          <a:avLst>
            <a:gd name="adj" fmla="val 43970"/>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fld id="{75ED8196-1065-4A1A-BC7D-0DC6E2AAA9CB}" type="TxLink">
            <a:rPr lang="en-US" sz="1200" b="1" i="0" u="none" strike="noStrike">
              <a:solidFill>
                <a:srgbClr val="000000"/>
              </a:solidFill>
              <a:latin typeface="Century Gothic"/>
              <a:cs typeface="Arial"/>
            </a:rPr>
            <a:pPr algn="ctr"/>
            <a:t>#DIV/0!</a:t>
          </a:fld>
          <a:endParaRPr lang="en-US" sz="1050" b="1" i="0" u="none" strike="noStrike">
            <a:solidFill>
              <a:sysClr val="windowText" lastClr="000000"/>
            </a:solidFill>
            <a:latin typeface="Century Gothic" panose="020B0502020202020204" pitchFamily="34" charset="0"/>
            <a:cs typeface="Arial"/>
          </a:endParaRPr>
        </a:p>
      </xdr:txBody>
    </xdr:sp>
    <xdr:clientData/>
  </xdr:twoCellAnchor>
  <xdr:twoCellAnchor>
    <xdr:from>
      <xdr:col>1</xdr:col>
      <xdr:colOff>1359713</xdr:colOff>
      <xdr:row>22</xdr:row>
      <xdr:rowOff>38308</xdr:rowOff>
    </xdr:from>
    <xdr:to>
      <xdr:col>2</xdr:col>
      <xdr:colOff>797579</xdr:colOff>
      <xdr:row>23</xdr:row>
      <xdr:rowOff>39424</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1969313" y="4438858"/>
          <a:ext cx="971391" cy="20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700" b="1">
              <a:latin typeface="Century Gothic" panose="020B0502020202020204" pitchFamily="34" charset="0"/>
            </a:rPr>
            <a:t>% of</a:t>
          </a:r>
          <a:r>
            <a:rPr lang="en-ZA" sz="700" b="1" baseline="0">
              <a:latin typeface="Century Gothic" panose="020B0502020202020204" pitchFamily="34" charset="0"/>
            </a:rPr>
            <a:t> Income spent</a:t>
          </a:r>
          <a:endParaRPr lang="en-ZA" sz="700" b="1">
            <a:latin typeface="Century Gothic" panose="020B0502020202020204" pitchFamily="34" charset="0"/>
          </a:endParaRPr>
        </a:p>
      </xdr:txBody>
    </xdr:sp>
    <xdr:clientData/>
  </xdr:twoCellAnchor>
  <xdr:twoCellAnchor>
    <xdr:from>
      <xdr:col>1</xdr:col>
      <xdr:colOff>752475</xdr:colOff>
      <xdr:row>14</xdr:row>
      <xdr:rowOff>152400</xdr:rowOff>
    </xdr:from>
    <xdr:to>
      <xdr:col>3</xdr:col>
      <xdr:colOff>421386</xdr:colOff>
      <xdr:row>21</xdr:row>
      <xdr:rowOff>143927</xdr:rowOff>
    </xdr:to>
    <xdr:grpSp>
      <xdr:nvGrpSpPr>
        <xdr:cNvPr id="25" name="Group 24">
          <a:extLst>
            <a:ext uri="{FF2B5EF4-FFF2-40B4-BE49-F238E27FC236}">
              <a16:creationId xmlns:a16="http://schemas.microsoft.com/office/drawing/2014/main" id="{00000000-0008-0000-0500-000019000000}"/>
            </a:ext>
          </a:extLst>
        </xdr:cNvPr>
        <xdr:cNvGrpSpPr/>
      </xdr:nvGrpSpPr>
      <xdr:grpSpPr>
        <a:xfrm>
          <a:off x="1362075" y="2952750"/>
          <a:ext cx="2050161" cy="1391702"/>
          <a:chOff x="2609850" y="3810000"/>
          <a:chExt cx="1812036" cy="1391702"/>
        </a:xfrm>
      </xdr:grpSpPr>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2724150" y="4981575"/>
            <a:ext cx="316398"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0</a:t>
            </a:r>
            <a:r>
              <a:rPr lang="en-ZA" sz="800" b="1"/>
              <a:t>%</a:t>
            </a:r>
          </a:p>
        </xdr:txBody>
      </xdr:sp>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2609850" y="4591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a:t>
            </a:r>
            <a:r>
              <a:rPr lang="en-ZA" sz="800" b="1"/>
              <a:t>%</a:t>
            </a:r>
          </a:p>
        </xdr:txBody>
      </xdr:sp>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2647950" y="42862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20</a:t>
            </a:r>
            <a:r>
              <a:rPr lang="en-ZA" sz="800" b="1"/>
              <a:t>%</a:t>
            </a:r>
          </a:p>
        </xdr:txBody>
      </xdr:sp>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2838450" y="40290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30</a:t>
            </a:r>
            <a:r>
              <a:rPr lang="en-ZA" sz="800" b="1"/>
              <a:t>%</a:t>
            </a:r>
          </a:p>
        </xdr:txBody>
      </xdr:sp>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3048000" y="38290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40</a:t>
            </a:r>
            <a:r>
              <a:rPr lang="en-ZA" sz="800" b="1"/>
              <a:t>%</a:t>
            </a:r>
          </a:p>
        </xdr:txBody>
      </xdr:sp>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3333750" y="3810000"/>
            <a:ext cx="374333" cy="22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50</a:t>
            </a:r>
            <a:r>
              <a:rPr lang="en-ZA" sz="800" b="1"/>
              <a:t>%</a:t>
            </a:r>
          </a:p>
        </xdr:txBody>
      </xdr:sp>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3648075" y="38481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60</a:t>
            </a:r>
            <a:r>
              <a:rPr lang="en-ZA" sz="800" b="1"/>
              <a:t>%</a:t>
            </a:r>
          </a:p>
        </xdr:txBody>
      </xdr:sp>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3867150" y="401955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70</a:t>
            </a:r>
            <a:r>
              <a:rPr lang="en-ZA" sz="800" b="1"/>
              <a:t>%</a:t>
            </a:r>
          </a:p>
        </xdr:txBody>
      </xdr:sp>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3990975" y="4305300"/>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80</a:t>
            </a:r>
            <a:r>
              <a:rPr lang="en-ZA" sz="800" b="1"/>
              <a:t>%</a:t>
            </a:r>
          </a:p>
        </xdr:txBody>
      </xdr:sp>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4048125" y="4638675"/>
            <a:ext cx="373761"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90</a:t>
            </a:r>
            <a:r>
              <a:rPr lang="en-ZA" sz="800" b="1"/>
              <a:t>%</a:t>
            </a:r>
          </a:p>
        </xdr:txBody>
      </xdr:sp>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3867150" y="4943475"/>
            <a:ext cx="431125" cy="220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ZA" sz="800" b="1">
                <a:latin typeface="Century Gothic" panose="020B0502020202020204" pitchFamily="34" charset="0"/>
              </a:rPr>
              <a:t>100</a:t>
            </a:r>
            <a:r>
              <a:rPr lang="en-ZA" sz="800" b="1"/>
              <a:t>%</a:t>
            </a:r>
          </a:p>
        </xdr:txBody>
      </xdr:sp>
    </xdr:grpSp>
    <xdr:clientData/>
  </xdr:twoCellAnchor>
  <xdr:twoCellAnchor>
    <xdr:from>
      <xdr:col>1</xdr:col>
      <xdr:colOff>19049</xdr:colOff>
      <xdr:row>28</xdr:row>
      <xdr:rowOff>28575</xdr:rowOff>
    </xdr:from>
    <xdr:to>
      <xdr:col>4</xdr:col>
      <xdr:colOff>742949</xdr:colOff>
      <xdr:row>33</xdr:row>
      <xdr:rowOff>173318</xdr:rowOff>
    </xdr:to>
    <xdr:grpSp>
      <xdr:nvGrpSpPr>
        <xdr:cNvPr id="57" name="Group 56">
          <a:extLst>
            <a:ext uri="{FF2B5EF4-FFF2-40B4-BE49-F238E27FC236}">
              <a16:creationId xmlns:a16="http://schemas.microsoft.com/office/drawing/2014/main" id="{00000000-0008-0000-0500-000039000000}"/>
            </a:ext>
          </a:extLst>
        </xdr:cNvPr>
        <xdr:cNvGrpSpPr/>
      </xdr:nvGrpSpPr>
      <xdr:grpSpPr>
        <a:xfrm>
          <a:off x="628649" y="5648325"/>
          <a:ext cx="3981450" cy="1163918"/>
          <a:chOff x="837215" y="4486275"/>
          <a:chExt cx="3039460" cy="1063588"/>
        </a:xfrm>
      </xdr:grpSpPr>
      <xdr:sp macro="" textlink="">
        <xdr:nvSpPr>
          <xdr:cNvPr id="58" name="Round Same Side Corner Rectangle 57">
            <a:extLst>
              <a:ext uri="{FF2B5EF4-FFF2-40B4-BE49-F238E27FC236}">
                <a16:creationId xmlns:a16="http://schemas.microsoft.com/office/drawing/2014/main" id="{00000000-0008-0000-0500-00003A000000}"/>
              </a:ext>
            </a:extLst>
          </xdr:cNvPr>
          <xdr:cNvSpPr/>
        </xdr:nvSpPr>
        <xdr:spPr>
          <a:xfrm>
            <a:off x="837215" y="448627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chemeClr val="accent3">
                <a:lumMod val="50000"/>
              </a:schemeClr>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sp macro="" textlink="">
        <xdr:nvSpPr>
          <xdr:cNvPr id="59" name="Rectangle 58">
            <a:extLst>
              <a:ext uri="{FF2B5EF4-FFF2-40B4-BE49-F238E27FC236}">
                <a16:creationId xmlns:a16="http://schemas.microsoft.com/office/drawing/2014/main" id="{00000000-0008-0000-0500-00003B000000}"/>
              </a:ext>
            </a:extLst>
          </xdr:cNvPr>
          <xdr:cNvSpPr/>
        </xdr:nvSpPr>
        <xdr:spPr>
          <a:xfrm>
            <a:off x="837215" y="5430756"/>
            <a:ext cx="3039460" cy="119107"/>
          </a:xfrm>
          <a:prstGeom prst="rect">
            <a:avLst/>
          </a:prstGeom>
          <a:gradFill>
            <a:gsLst>
              <a:gs pos="0">
                <a:schemeClr val="accent3">
                  <a:lumMod val="50000"/>
                </a:schemeClr>
              </a:gs>
              <a:gs pos="80000">
                <a:schemeClr val="accent3">
                  <a:lumMod val="60000"/>
                  <a:lumOff val="40000"/>
                </a:schemeClr>
              </a:gs>
              <a:gs pos="100000">
                <a:schemeClr val="accent3">
                  <a:lumMod val="75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sz="1100">
              <a:latin typeface="Century Gothic" panose="020B0502020202020204" pitchFamily="34" charset="0"/>
            </a:endParaRPr>
          </a:p>
        </xdr:txBody>
      </xdr:sp>
    </xdr:grpSp>
    <xdr:clientData/>
  </xdr:twoCellAnchor>
  <xdr:oneCellAnchor>
    <xdr:from>
      <xdr:col>1</xdr:col>
      <xdr:colOff>695325</xdr:colOff>
      <xdr:row>26</xdr:row>
      <xdr:rowOff>161925</xdr:rowOff>
    </xdr:from>
    <xdr:ext cx="1932388" cy="257443"/>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1304925" y="5381625"/>
          <a:ext cx="193238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chemeClr val="accent3">
                  <a:lumMod val="50000"/>
                </a:schemeClr>
              </a:solidFill>
              <a:latin typeface="Century Gothic" panose="020B0502020202020204" pitchFamily="34" charset="0"/>
            </a:rPr>
            <a:t>Total </a:t>
          </a:r>
          <a:r>
            <a:rPr lang="en-ZA" sz="1050" b="0">
              <a:solidFill>
                <a:schemeClr val="accent3">
                  <a:lumMod val="50000"/>
                </a:schemeClr>
              </a:solidFill>
              <a:latin typeface="Century Gothic" panose="020B0502020202020204" pitchFamily="34" charset="0"/>
            </a:rPr>
            <a:t>Income</a:t>
          </a:r>
          <a:r>
            <a:rPr lang="en-ZA" sz="1050" b="1">
              <a:solidFill>
                <a:schemeClr val="accent3">
                  <a:lumMod val="50000"/>
                </a:schemeClr>
              </a:solidFill>
              <a:latin typeface="Century Gothic" panose="020B0502020202020204" pitchFamily="34" charset="0"/>
            </a:rPr>
            <a:t> for the month</a:t>
          </a:r>
        </a:p>
      </xdr:txBody>
    </xdr:sp>
    <xdr:clientData/>
  </xdr:oneCellAnchor>
  <xdr:twoCellAnchor>
    <xdr:from>
      <xdr:col>6</xdr:col>
      <xdr:colOff>9525</xdr:colOff>
      <xdr:row>28</xdr:row>
      <xdr:rowOff>9525</xdr:rowOff>
    </xdr:from>
    <xdr:to>
      <xdr:col>9</xdr:col>
      <xdr:colOff>695325</xdr:colOff>
      <xdr:row>33</xdr:row>
      <xdr:rowOff>169582</xdr:rowOff>
    </xdr:to>
    <xdr:grpSp>
      <xdr:nvGrpSpPr>
        <xdr:cNvPr id="61" name="Group 60">
          <a:extLst>
            <a:ext uri="{FF2B5EF4-FFF2-40B4-BE49-F238E27FC236}">
              <a16:creationId xmlns:a16="http://schemas.microsoft.com/office/drawing/2014/main" id="{00000000-0008-0000-0500-00003D000000}"/>
            </a:ext>
          </a:extLst>
        </xdr:cNvPr>
        <xdr:cNvGrpSpPr/>
      </xdr:nvGrpSpPr>
      <xdr:grpSpPr>
        <a:xfrm>
          <a:off x="4991100" y="5629275"/>
          <a:ext cx="4086225" cy="1179232"/>
          <a:chOff x="4599590" y="4505325"/>
          <a:chExt cx="3039460" cy="1063588"/>
        </a:xfrm>
      </xdr:grpSpPr>
      <xdr:sp macro="" textlink="">
        <xdr:nvSpPr>
          <xdr:cNvPr id="62" name="Round Same Side Corner Rectangle 61">
            <a:extLst>
              <a:ext uri="{FF2B5EF4-FFF2-40B4-BE49-F238E27FC236}">
                <a16:creationId xmlns:a16="http://schemas.microsoft.com/office/drawing/2014/main" id="{00000000-0008-0000-0500-00003E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63" name="Rectangle 62">
            <a:extLst>
              <a:ext uri="{FF2B5EF4-FFF2-40B4-BE49-F238E27FC236}">
                <a16:creationId xmlns:a16="http://schemas.microsoft.com/office/drawing/2014/main" id="{00000000-0008-0000-0500-00003F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6</xdr:col>
      <xdr:colOff>809625</xdr:colOff>
      <xdr:row>26</xdr:row>
      <xdr:rowOff>123825</xdr:rowOff>
    </xdr:from>
    <xdr:ext cx="2034724" cy="257443"/>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5200650" y="5343525"/>
          <a:ext cx="2034724"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FF0000"/>
              </a:solidFill>
              <a:latin typeface="Century Gothic" panose="020B0502020202020204" pitchFamily="34" charset="0"/>
            </a:rPr>
            <a:t>Total Expenses for the month</a:t>
          </a:r>
        </a:p>
      </xdr:txBody>
    </xdr:sp>
    <xdr:clientData/>
  </xdr:oneCellAnchor>
  <xdr:twoCellAnchor>
    <xdr:from>
      <xdr:col>4</xdr:col>
      <xdr:colOff>438150</xdr:colOff>
      <xdr:row>13</xdr:row>
      <xdr:rowOff>47625</xdr:rowOff>
    </xdr:from>
    <xdr:to>
      <xdr:col>9</xdr:col>
      <xdr:colOff>704851</xdr:colOff>
      <xdr:row>26</xdr:row>
      <xdr:rowOff>41910</xdr:rowOff>
    </xdr:to>
    <xdr:graphicFrame macro="">
      <xdr:nvGraphicFramePr>
        <xdr:cNvPr id="89" name="Chart 88">
          <a:extLst>
            <a:ext uri="{FF2B5EF4-FFF2-40B4-BE49-F238E27FC236}">
              <a16:creationId xmlns:a16="http://schemas.microsoft.com/office/drawing/2014/main" id="{00000000-0008-0000-05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152401</xdr:colOff>
      <xdr:row>28</xdr:row>
      <xdr:rowOff>28575</xdr:rowOff>
    </xdr:from>
    <xdr:to>
      <xdr:col>14</xdr:col>
      <xdr:colOff>333376</xdr:colOff>
      <xdr:row>33</xdr:row>
      <xdr:rowOff>180975</xdr:rowOff>
    </xdr:to>
    <xdr:grpSp>
      <xdr:nvGrpSpPr>
        <xdr:cNvPr id="90" name="Group 89">
          <a:extLst>
            <a:ext uri="{FF2B5EF4-FFF2-40B4-BE49-F238E27FC236}">
              <a16:creationId xmlns:a16="http://schemas.microsoft.com/office/drawing/2014/main" id="{00000000-0008-0000-0500-00005A000000}"/>
            </a:ext>
          </a:extLst>
        </xdr:cNvPr>
        <xdr:cNvGrpSpPr/>
      </xdr:nvGrpSpPr>
      <xdr:grpSpPr>
        <a:xfrm>
          <a:off x="9401176" y="5648325"/>
          <a:ext cx="3743325" cy="1171575"/>
          <a:chOff x="7942864" y="4514850"/>
          <a:chExt cx="3410935" cy="1063588"/>
        </a:xfrm>
      </xdr:grpSpPr>
      <xdr:sp macro="" textlink="">
        <xdr:nvSpPr>
          <xdr:cNvPr id="91" name="Round Same Side Corner Rectangle 90">
            <a:extLst>
              <a:ext uri="{FF2B5EF4-FFF2-40B4-BE49-F238E27FC236}">
                <a16:creationId xmlns:a16="http://schemas.microsoft.com/office/drawing/2014/main" id="{00000000-0008-0000-0500-00005B000000}"/>
              </a:ext>
            </a:extLst>
          </xdr:cNvPr>
          <xdr:cNvSpPr/>
        </xdr:nvSpPr>
        <xdr:spPr>
          <a:xfrm>
            <a:off x="7942864" y="4514850"/>
            <a:ext cx="3410935"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00B0F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92" name="Rectangle 91">
            <a:extLst>
              <a:ext uri="{FF2B5EF4-FFF2-40B4-BE49-F238E27FC236}">
                <a16:creationId xmlns:a16="http://schemas.microsoft.com/office/drawing/2014/main" id="{00000000-0008-0000-0500-00005C000000}"/>
              </a:ext>
            </a:extLst>
          </xdr:cNvPr>
          <xdr:cNvSpPr/>
        </xdr:nvSpPr>
        <xdr:spPr>
          <a:xfrm>
            <a:off x="7942864" y="5459331"/>
            <a:ext cx="3410935" cy="119107"/>
          </a:xfrm>
          <a:prstGeom prst="rect">
            <a:avLst/>
          </a:prstGeom>
          <a:gradFill>
            <a:gsLst>
              <a:gs pos="0">
                <a:schemeClr val="accent5">
                  <a:lumMod val="50000"/>
                </a:schemeClr>
              </a:gs>
              <a:gs pos="80000">
                <a:srgbClr val="00B0F0"/>
              </a:gs>
              <a:gs pos="100000">
                <a:schemeClr val="accent5">
                  <a:lumMod val="50000"/>
                </a:schemeClr>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oneCellAnchor>
    <xdr:from>
      <xdr:col>11</xdr:col>
      <xdr:colOff>542925</xdr:colOff>
      <xdr:row>26</xdr:row>
      <xdr:rowOff>95250</xdr:rowOff>
    </xdr:from>
    <xdr:ext cx="1924245" cy="257443"/>
    <xdr:sp macro="" textlink="">
      <xdr:nvSpPr>
        <xdr:cNvPr id="93" name="TextBox 92">
          <a:extLst>
            <a:ext uri="{FF2B5EF4-FFF2-40B4-BE49-F238E27FC236}">
              <a16:creationId xmlns:a16="http://schemas.microsoft.com/office/drawing/2014/main" id="{00000000-0008-0000-0500-00005D000000}"/>
            </a:ext>
          </a:extLst>
        </xdr:cNvPr>
        <xdr:cNvSpPr txBox="1"/>
      </xdr:nvSpPr>
      <xdr:spPr>
        <a:xfrm>
          <a:off x="8810625" y="5314950"/>
          <a:ext cx="192424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Total Savings for the month</a:t>
          </a:r>
        </a:p>
      </xdr:txBody>
    </xdr:sp>
    <xdr:clientData/>
  </xdr:oneCellAnchor>
  <xdr:twoCellAnchor>
    <xdr:from>
      <xdr:col>9</xdr:col>
      <xdr:colOff>171450</xdr:colOff>
      <xdr:row>14</xdr:row>
      <xdr:rowOff>190500</xdr:rowOff>
    </xdr:from>
    <xdr:to>
      <xdr:col>12</xdr:col>
      <xdr:colOff>541463</xdr:colOff>
      <xdr:row>24</xdr:row>
      <xdr:rowOff>190500</xdr:rowOff>
    </xdr:to>
    <xdr:grpSp>
      <xdr:nvGrpSpPr>
        <xdr:cNvPr id="94" name="Group 93">
          <a:extLst>
            <a:ext uri="{FF2B5EF4-FFF2-40B4-BE49-F238E27FC236}">
              <a16:creationId xmlns:a16="http://schemas.microsoft.com/office/drawing/2014/main" id="{00000000-0008-0000-0500-00005E000000}"/>
            </a:ext>
          </a:extLst>
        </xdr:cNvPr>
        <xdr:cNvGrpSpPr/>
      </xdr:nvGrpSpPr>
      <xdr:grpSpPr>
        <a:xfrm>
          <a:off x="8553450" y="2990850"/>
          <a:ext cx="2875088" cy="2000250"/>
          <a:chOff x="8153400" y="2990850"/>
          <a:chExt cx="2636963" cy="2000250"/>
        </a:xfrm>
      </xdr:grpSpPr>
      <xdr:sp macro="" textlink="Actual_Perc_Goal">
        <xdr:nvSpPr>
          <xdr:cNvPr id="95" name="TextBox 94">
            <a:extLst>
              <a:ext uri="{FF2B5EF4-FFF2-40B4-BE49-F238E27FC236}">
                <a16:creationId xmlns:a16="http://schemas.microsoft.com/office/drawing/2014/main" id="{00000000-0008-0000-0500-00005F000000}"/>
              </a:ext>
            </a:extLst>
          </xdr:cNvPr>
          <xdr:cNvSpPr txBox="1"/>
        </xdr:nvSpPr>
        <xdr:spPr>
          <a:xfrm>
            <a:off x="8966957" y="3983980"/>
            <a:ext cx="787541" cy="49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94EF9B-E54E-41D2-94ED-45D731391AB1}" type="TxLink">
              <a:rPr lang="en-US" sz="2400" b="1" i="0" u="none" strike="noStrike">
                <a:solidFill>
                  <a:srgbClr val="00B0F0"/>
                </a:solidFill>
                <a:latin typeface="Century Gothic"/>
              </a:rPr>
              <a:pPr algn="ctr"/>
              <a:t> </a:t>
            </a:fld>
            <a:endParaRPr lang="en-ZA" sz="3600" b="1">
              <a:solidFill>
                <a:srgbClr val="00B0F0"/>
              </a:solidFill>
            </a:endParaRPr>
          </a:p>
        </xdr:txBody>
      </xdr:sp>
      <xdr:grpSp>
        <xdr:nvGrpSpPr>
          <xdr:cNvPr id="96" name="Group 95">
            <a:extLst>
              <a:ext uri="{FF2B5EF4-FFF2-40B4-BE49-F238E27FC236}">
                <a16:creationId xmlns:a16="http://schemas.microsoft.com/office/drawing/2014/main" id="{00000000-0008-0000-0500-000060000000}"/>
              </a:ext>
            </a:extLst>
          </xdr:cNvPr>
          <xdr:cNvGrpSpPr/>
        </xdr:nvGrpSpPr>
        <xdr:grpSpPr>
          <a:xfrm>
            <a:off x="8153400" y="2990850"/>
            <a:ext cx="2636963" cy="2000250"/>
            <a:chOff x="4365624" y="1342104"/>
            <a:chExt cx="3540125" cy="2591721"/>
          </a:xfrm>
        </xdr:grpSpPr>
        <xdr:graphicFrame macro="">
          <xdr:nvGraphicFramePr>
            <xdr:cNvPr id="97" name="Chart 96">
              <a:extLst>
                <a:ext uri="{FF2B5EF4-FFF2-40B4-BE49-F238E27FC236}">
                  <a16:creationId xmlns:a16="http://schemas.microsoft.com/office/drawing/2014/main" id="{00000000-0008-0000-0500-000061000000}"/>
                </a:ext>
              </a:extLst>
            </xdr:cNvPr>
            <xdr:cNvGraphicFramePr/>
          </xdr:nvGraphicFramePr>
          <xdr:xfrm>
            <a:off x="4365624" y="1809750"/>
            <a:ext cx="3540125" cy="212407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5048250" y="1342104"/>
              <a:ext cx="2057400" cy="572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B0F0"/>
                  </a:solidFill>
                  <a:latin typeface="Century Gothic" panose="020B0502020202020204" pitchFamily="34" charset="0"/>
                </a:rPr>
                <a:t>SAVINGS TOWARDS GOALS</a:t>
              </a:r>
            </a:p>
          </xdr:txBody>
        </xdr:sp>
      </xdr:grpSp>
    </xdr:grpSp>
    <xdr:clientData/>
  </xdr:twoCellAnchor>
  <xdr:twoCellAnchor>
    <xdr:from>
      <xdr:col>11</xdr:col>
      <xdr:colOff>771525</xdr:colOff>
      <xdr:row>14</xdr:row>
      <xdr:rowOff>114301</xdr:rowOff>
    </xdr:from>
    <xdr:to>
      <xdr:col>14</xdr:col>
      <xdr:colOff>766572</xdr:colOff>
      <xdr:row>25</xdr:row>
      <xdr:rowOff>30861</xdr:rowOff>
    </xdr:to>
    <xdr:grpSp>
      <xdr:nvGrpSpPr>
        <xdr:cNvPr id="99" name="Group 98">
          <a:extLst>
            <a:ext uri="{FF2B5EF4-FFF2-40B4-BE49-F238E27FC236}">
              <a16:creationId xmlns:a16="http://schemas.microsoft.com/office/drawing/2014/main" id="{00000000-0008-0000-0500-000063000000}"/>
            </a:ext>
          </a:extLst>
        </xdr:cNvPr>
        <xdr:cNvGrpSpPr/>
      </xdr:nvGrpSpPr>
      <xdr:grpSpPr>
        <a:xfrm>
          <a:off x="10239375" y="2914651"/>
          <a:ext cx="3338322" cy="2126360"/>
          <a:chOff x="9163050" y="1218340"/>
          <a:chExt cx="3538728" cy="2722343"/>
        </a:xfrm>
      </xdr:grpSpPr>
      <xdr:graphicFrame macro="">
        <xdr:nvGraphicFramePr>
          <xdr:cNvPr id="100" name="Chart 99">
            <a:extLst>
              <a:ext uri="{FF2B5EF4-FFF2-40B4-BE49-F238E27FC236}">
                <a16:creationId xmlns:a16="http://schemas.microsoft.com/office/drawing/2014/main" id="{00000000-0008-0000-0500-000064000000}"/>
              </a:ext>
            </a:extLst>
          </xdr:cNvPr>
          <xdr:cNvGraphicFramePr/>
        </xdr:nvGraphicFramePr>
        <xdr:xfrm>
          <a:off x="9163050" y="1819275"/>
          <a:ext cx="3538728" cy="2121408"/>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01" name="TextBox 100">
            <a:extLst>
              <a:ext uri="{FF2B5EF4-FFF2-40B4-BE49-F238E27FC236}">
                <a16:creationId xmlns:a16="http://schemas.microsoft.com/office/drawing/2014/main" id="{00000000-0008-0000-0500-000065000000}"/>
              </a:ext>
            </a:extLst>
          </xdr:cNvPr>
          <xdr:cNvSpPr txBox="1"/>
        </xdr:nvSpPr>
        <xdr:spPr>
          <a:xfrm>
            <a:off x="9830561" y="1218340"/>
            <a:ext cx="2313270" cy="5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ZA" sz="1000" b="1">
                <a:solidFill>
                  <a:srgbClr val="0070C0"/>
                </a:solidFill>
                <a:latin typeface="Century Gothic" panose="020B0502020202020204" pitchFamily="34" charset="0"/>
              </a:rPr>
              <a:t>SAVINGS</a:t>
            </a:r>
            <a:r>
              <a:rPr lang="en-ZA" sz="1100" b="1">
                <a:solidFill>
                  <a:srgbClr val="0070C0"/>
                </a:solidFill>
                <a:latin typeface="Century Gothic" panose="020B0502020202020204" pitchFamily="34" charset="0"/>
              </a:rPr>
              <a:t> </a:t>
            </a:r>
            <a:r>
              <a:rPr lang="en-ZA" sz="1000" b="1">
                <a:solidFill>
                  <a:srgbClr val="0070C0"/>
                </a:solidFill>
                <a:latin typeface="Century Gothic" panose="020B0502020202020204" pitchFamily="34" charset="0"/>
              </a:rPr>
              <a:t>AND INVESTMENTS</a:t>
            </a:r>
            <a:endParaRPr lang="en-ZA" sz="1100" b="1">
              <a:solidFill>
                <a:srgbClr val="0070C0"/>
              </a:solidFill>
              <a:latin typeface="Century Gothic" panose="020B0502020202020204" pitchFamily="34" charset="0"/>
            </a:endParaRPr>
          </a:p>
        </xdr:txBody>
      </xdr:sp>
    </xdr:grpSp>
    <xdr:clientData/>
  </xdr:twoCellAnchor>
  <xdr:twoCellAnchor>
    <xdr:from>
      <xdr:col>14</xdr:col>
      <xdr:colOff>561976</xdr:colOff>
      <xdr:row>22</xdr:row>
      <xdr:rowOff>180975</xdr:rowOff>
    </xdr:from>
    <xdr:to>
      <xdr:col>16</xdr:col>
      <xdr:colOff>514351</xdr:colOff>
      <xdr:row>33</xdr:row>
      <xdr:rowOff>180975</xdr:rowOff>
    </xdr:to>
    <xdr:grpSp>
      <xdr:nvGrpSpPr>
        <xdr:cNvPr id="102" name="Group 101">
          <a:extLst>
            <a:ext uri="{FF2B5EF4-FFF2-40B4-BE49-F238E27FC236}">
              <a16:creationId xmlns:a16="http://schemas.microsoft.com/office/drawing/2014/main" id="{00000000-0008-0000-0500-000066000000}"/>
            </a:ext>
          </a:extLst>
        </xdr:cNvPr>
        <xdr:cNvGrpSpPr/>
      </xdr:nvGrpSpPr>
      <xdr:grpSpPr>
        <a:xfrm>
          <a:off x="13373101" y="4581525"/>
          <a:ext cx="2085975" cy="2238375"/>
          <a:chOff x="4599590" y="4505325"/>
          <a:chExt cx="3039460" cy="1063588"/>
        </a:xfrm>
      </xdr:grpSpPr>
      <xdr:sp macro="" textlink="">
        <xdr:nvSpPr>
          <xdr:cNvPr id="103" name="Round Same Side Corner Rectangle 102">
            <a:extLst>
              <a:ext uri="{FF2B5EF4-FFF2-40B4-BE49-F238E27FC236}">
                <a16:creationId xmlns:a16="http://schemas.microsoft.com/office/drawing/2014/main" id="{00000000-0008-0000-0500-000067000000}"/>
              </a:ext>
            </a:extLst>
          </xdr:cNvPr>
          <xdr:cNvSpPr/>
        </xdr:nvSpPr>
        <xdr:spPr>
          <a:xfrm>
            <a:off x="4599590" y="4505325"/>
            <a:ext cx="3039460" cy="944481"/>
          </a:xfrm>
          <a:prstGeom prst="round2SameRect">
            <a:avLst/>
          </a:prstGeom>
          <a:gradFill>
            <a:gsLst>
              <a:gs pos="0">
                <a:schemeClr val="accent1">
                  <a:tint val="100000"/>
                  <a:shade val="100000"/>
                  <a:satMod val="130000"/>
                  <a:alpha val="33000"/>
                  <a:lumMod val="1000"/>
                  <a:lumOff val="99000"/>
                </a:schemeClr>
              </a:gs>
              <a:gs pos="100000">
                <a:schemeClr val="accent1">
                  <a:tint val="50000"/>
                  <a:shade val="100000"/>
                  <a:satMod val="350000"/>
                  <a:alpha val="3000"/>
                  <a:lumMod val="0"/>
                  <a:lumOff val="100000"/>
                </a:schemeClr>
              </a:gs>
            </a:gsLst>
          </a:gra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4" name="Rectangle 103">
            <a:extLst>
              <a:ext uri="{FF2B5EF4-FFF2-40B4-BE49-F238E27FC236}">
                <a16:creationId xmlns:a16="http://schemas.microsoft.com/office/drawing/2014/main" id="{00000000-0008-0000-0500-000068000000}"/>
              </a:ext>
            </a:extLst>
          </xdr:cNvPr>
          <xdr:cNvSpPr/>
        </xdr:nvSpPr>
        <xdr:spPr>
          <a:xfrm>
            <a:off x="4599590" y="5449806"/>
            <a:ext cx="3039460" cy="119107"/>
          </a:xfrm>
          <a:prstGeom prst="rect">
            <a:avLst/>
          </a:prstGeom>
          <a:gradFill>
            <a:gsLst>
              <a:gs pos="0">
                <a:srgbClr val="C00000"/>
              </a:gs>
              <a:gs pos="80000">
                <a:srgbClr val="FF0000"/>
              </a:gs>
              <a:gs pos="100000">
                <a:srgbClr val="C00000"/>
              </a:gs>
            </a:gsLst>
          </a:gra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ZA"/>
          </a:p>
        </xdr:txBody>
      </xdr:sp>
    </xdr:grpSp>
    <xdr:clientData/>
  </xdr:twoCellAnchor>
  <xdr:twoCellAnchor>
    <xdr:from>
      <xdr:col>14</xdr:col>
      <xdr:colOff>533400</xdr:colOff>
      <xdr:row>17</xdr:row>
      <xdr:rowOff>142875</xdr:rowOff>
    </xdr:from>
    <xdr:to>
      <xdr:col>16</xdr:col>
      <xdr:colOff>452438</xdr:colOff>
      <xdr:row>21</xdr:row>
      <xdr:rowOff>159328</xdr:rowOff>
    </xdr:to>
    <xdr:sp macro="" textlink="Financial_ScoreCard_Apr">
      <xdr:nvSpPr>
        <xdr:cNvPr id="105" name="Rounded Rectangle 104">
          <a:extLst>
            <a:ext uri="{FF2B5EF4-FFF2-40B4-BE49-F238E27FC236}">
              <a16:creationId xmlns:a16="http://schemas.microsoft.com/office/drawing/2014/main" id="{00000000-0008-0000-0500-000069000000}"/>
            </a:ext>
          </a:extLst>
        </xdr:cNvPr>
        <xdr:cNvSpPr/>
      </xdr:nvSpPr>
      <xdr:spPr>
        <a:xfrm>
          <a:off x="11734800" y="3543300"/>
          <a:ext cx="1452563" cy="816553"/>
        </a:xfrm>
        <a:prstGeom prst="roundRect">
          <a:avLst>
            <a:gd name="adj" fmla="val 44663"/>
          </a:avLst>
        </a:prstGeom>
        <a:solidFill>
          <a:schemeClr val="bg1">
            <a:lumMod val="95000"/>
            <a:alpha val="11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fld id="{D08FC6CD-DFCE-4CF1-827A-11BD102F2CEC}" type="TxLink">
            <a:rPr lang="en-US" sz="1200" b="1" i="0" u="none" strike="noStrike">
              <a:solidFill>
                <a:srgbClr val="FF0000"/>
              </a:solidFill>
              <a:latin typeface="Century Gothic"/>
            </a:rPr>
            <a:pPr algn="ctr"/>
            <a:t> R -400,00 </a:t>
          </a:fld>
          <a:endParaRPr lang="en-US" sz="1200" b="1" i="0" u="none" strike="noStrike">
            <a:solidFill>
              <a:srgbClr val="FF0000"/>
            </a:solidFill>
            <a:latin typeface="Century Gothic" panose="020B0502020202020204" pitchFamily="34" charset="0"/>
          </a:endParaRPr>
        </a:p>
      </xdr:txBody>
    </xdr:sp>
    <xdr:clientData/>
  </xdr:twoCellAnchor>
  <xdr:oneCellAnchor>
    <xdr:from>
      <xdr:col>14</xdr:col>
      <xdr:colOff>352425</xdr:colOff>
      <xdr:row>9</xdr:row>
      <xdr:rowOff>76200</xdr:rowOff>
    </xdr:from>
    <xdr:ext cx="1738233" cy="257443"/>
    <xdr:sp macro="" textlink="">
      <xdr:nvSpPr>
        <xdr:cNvPr id="106" name="TextBox 105">
          <a:extLst>
            <a:ext uri="{FF2B5EF4-FFF2-40B4-BE49-F238E27FC236}">
              <a16:creationId xmlns:a16="http://schemas.microsoft.com/office/drawing/2014/main" id="{00000000-0008-0000-0500-00006A000000}"/>
            </a:ext>
          </a:extLst>
        </xdr:cNvPr>
        <xdr:cNvSpPr txBox="1"/>
      </xdr:nvSpPr>
      <xdr:spPr>
        <a:xfrm>
          <a:off x="11553825" y="1876425"/>
          <a:ext cx="173823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C9233C"/>
              </a:solidFill>
              <a:latin typeface="Century Gothic" panose="020B0502020202020204" pitchFamily="34" charset="0"/>
            </a:rPr>
            <a:t>FINANCIAL SCORECARD</a:t>
          </a:r>
        </a:p>
      </xdr:txBody>
    </xdr:sp>
    <xdr:clientData/>
  </xdr:oneCellAnchor>
  <xdr:oneCellAnchor>
    <xdr:from>
      <xdr:col>11</xdr:col>
      <xdr:colOff>1143000</xdr:colOff>
      <xdr:row>9</xdr:row>
      <xdr:rowOff>85725</xdr:rowOff>
    </xdr:from>
    <xdr:ext cx="768928" cy="257443"/>
    <xdr:sp macro="" textlink="">
      <xdr:nvSpPr>
        <xdr:cNvPr id="107" name="TextBox 106">
          <a:extLst>
            <a:ext uri="{FF2B5EF4-FFF2-40B4-BE49-F238E27FC236}">
              <a16:creationId xmlns:a16="http://schemas.microsoft.com/office/drawing/2014/main" id="{00000000-0008-0000-0500-00006B000000}"/>
            </a:ext>
          </a:extLst>
        </xdr:cNvPr>
        <xdr:cNvSpPr txBox="1"/>
      </xdr:nvSpPr>
      <xdr:spPr>
        <a:xfrm>
          <a:off x="9410700" y="1885950"/>
          <a:ext cx="768928"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050" b="1">
              <a:solidFill>
                <a:srgbClr val="00B0F0"/>
              </a:solidFill>
              <a:latin typeface="Century Gothic" panose="020B0502020202020204" pitchFamily="34" charset="0"/>
            </a:rPr>
            <a:t>SAVINGS</a:t>
          </a:r>
        </a:p>
      </xdr:txBody>
    </xdr:sp>
    <xdr:clientData/>
  </xdr:oneCellAnchor>
  <xdr:oneCellAnchor>
    <xdr:from>
      <xdr:col>6</xdr:col>
      <xdr:colOff>1171575</xdr:colOff>
      <xdr:row>9</xdr:row>
      <xdr:rowOff>85725</xdr:rowOff>
    </xdr:from>
    <xdr:ext cx="796693" cy="257443"/>
    <xdr:sp macro="" textlink="">
      <xdr:nvSpPr>
        <xdr:cNvPr id="108" name="TextBox 107">
          <a:extLst>
            <a:ext uri="{FF2B5EF4-FFF2-40B4-BE49-F238E27FC236}">
              <a16:creationId xmlns:a16="http://schemas.microsoft.com/office/drawing/2014/main" id="{00000000-0008-0000-0500-00006C000000}"/>
            </a:ext>
          </a:extLst>
        </xdr:cNvPr>
        <xdr:cNvSpPr txBox="1"/>
      </xdr:nvSpPr>
      <xdr:spPr>
        <a:xfrm>
          <a:off x="5562600" y="1885950"/>
          <a:ext cx="796693"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1">
              <a:solidFill>
                <a:srgbClr val="FF0000"/>
              </a:solidFill>
              <a:latin typeface="Century Gothic" panose="020B0502020202020204" pitchFamily="34" charset="0"/>
            </a:rPr>
            <a:t>EXPENSES</a:t>
          </a:r>
        </a:p>
      </xdr:txBody>
    </xdr:sp>
    <xdr:clientData/>
  </xdr:oneCellAnchor>
  <xdr:oneCellAnchor>
    <xdr:from>
      <xdr:col>6</xdr:col>
      <xdr:colOff>666750</xdr:colOff>
      <xdr:row>11</xdr:row>
      <xdr:rowOff>57150</xdr:rowOff>
    </xdr:from>
    <xdr:ext cx="2012089" cy="257443"/>
    <xdr:sp macro="" textlink="">
      <xdr:nvSpPr>
        <xdr:cNvPr id="109" name="TextBox 108">
          <a:extLst>
            <a:ext uri="{FF2B5EF4-FFF2-40B4-BE49-F238E27FC236}">
              <a16:creationId xmlns:a16="http://schemas.microsoft.com/office/drawing/2014/main" id="{00000000-0008-0000-0500-00006D000000}"/>
            </a:ext>
          </a:extLst>
        </xdr:cNvPr>
        <xdr:cNvSpPr txBox="1"/>
      </xdr:nvSpPr>
      <xdr:spPr>
        <a:xfrm>
          <a:off x="5057775" y="2257425"/>
          <a:ext cx="2012089"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dist"/>
          <a:r>
            <a:rPr lang="en-ZA" sz="1050" b="0">
              <a:solidFill>
                <a:srgbClr val="FF0000"/>
              </a:solidFill>
              <a:latin typeface="Century Gothic" panose="020B0502020202020204" pitchFamily="34" charset="0"/>
            </a:rPr>
            <a:t>Varience - Budget vs Actual</a:t>
          </a:r>
        </a:p>
      </xdr:txBody>
    </xdr:sp>
    <xdr:clientData/>
  </xdr:oneCellAnchor>
  <xdr:twoCellAnchor>
    <xdr:from>
      <xdr:col>1</xdr:col>
      <xdr:colOff>28575</xdr:colOff>
      <xdr:row>35</xdr:row>
      <xdr:rowOff>0</xdr:rowOff>
    </xdr:from>
    <xdr:to>
      <xdr:col>1</xdr:col>
      <xdr:colOff>1447800</xdr:colOff>
      <xdr:row>37</xdr:row>
      <xdr:rowOff>66675</xdr:rowOff>
    </xdr:to>
    <xdr:sp macro="" textlink="">
      <xdr:nvSpPr>
        <xdr:cNvPr id="110" name="Round Diagonal Corner Rectangle 109">
          <a:hlinkClick xmlns:r="http://schemas.openxmlformats.org/officeDocument/2006/relationships" r:id="rId7"/>
          <a:extLst>
            <a:ext uri="{FF2B5EF4-FFF2-40B4-BE49-F238E27FC236}">
              <a16:creationId xmlns:a16="http://schemas.microsoft.com/office/drawing/2014/main" id="{00000000-0008-0000-0500-00006E000000}"/>
            </a:ext>
          </a:extLst>
        </xdr:cNvPr>
        <xdr:cNvSpPr/>
      </xdr:nvSpPr>
      <xdr:spPr>
        <a:xfrm>
          <a:off x="638175" y="7038975"/>
          <a:ext cx="1419225" cy="466725"/>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ZA" sz="1200" b="1">
              <a:latin typeface="Century Gothic" panose="020B0502020202020204" pitchFamily="34" charset="0"/>
            </a:rPr>
            <a:t>HOME</a:t>
          </a:r>
        </a:p>
      </xdr:txBody>
    </xdr:sp>
    <xdr:clientData/>
  </xdr:twoCellAnchor>
  <xdr:twoCellAnchor>
    <xdr:from>
      <xdr:col>2</xdr:col>
      <xdr:colOff>209550</xdr:colOff>
      <xdr:row>35</xdr:row>
      <xdr:rowOff>0</xdr:rowOff>
    </xdr:from>
    <xdr:to>
      <xdr:col>6</xdr:col>
      <xdr:colOff>38100</xdr:colOff>
      <xdr:row>37</xdr:row>
      <xdr:rowOff>66675</xdr:rowOff>
    </xdr:to>
    <xdr:sp macro="" textlink="">
      <xdr:nvSpPr>
        <xdr:cNvPr id="111" name="Round Diagonal Corner Rectangle 110">
          <a:hlinkClick xmlns:r="http://schemas.openxmlformats.org/officeDocument/2006/relationships" r:id="rId8"/>
          <a:extLst>
            <a:ext uri="{FF2B5EF4-FFF2-40B4-BE49-F238E27FC236}">
              <a16:creationId xmlns:a16="http://schemas.microsoft.com/office/drawing/2014/main" id="{00000000-0008-0000-0500-00006F000000}"/>
            </a:ext>
          </a:extLst>
        </xdr:cNvPr>
        <xdr:cNvSpPr/>
      </xdr:nvSpPr>
      <xdr:spPr>
        <a:xfrm>
          <a:off x="2352675" y="7038975"/>
          <a:ext cx="2076450" cy="466725"/>
        </a:xfrm>
        <a:prstGeom prst="round2DiagRect">
          <a:avLst/>
        </a:prstGeom>
        <a:gradFill>
          <a:gsLst>
            <a:gs pos="0">
              <a:srgbClr val="FF0000"/>
            </a:gs>
            <a:gs pos="67000">
              <a:schemeClr val="accent2">
                <a:shade val="93000"/>
                <a:satMod val="130000"/>
                <a:alpha val="76000"/>
              </a:schemeClr>
            </a:gs>
            <a:gs pos="100000">
              <a:srgbClr val="FF0000"/>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latin typeface="Century Gothic" panose="020B0502020202020204" pitchFamily="34" charset="0"/>
            </a:rPr>
            <a:t>FINANCIAL SCORECARD</a:t>
          </a:r>
        </a:p>
      </xdr:txBody>
    </xdr:sp>
    <xdr:clientData/>
  </xdr:twoCellAnchor>
  <xdr:twoCellAnchor>
    <xdr:from>
      <xdr:col>6</xdr:col>
      <xdr:colOff>314325</xdr:colOff>
      <xdr:row>34</xdr:row>
      <xdr:rowOff>180975</xdr:rowOff>
    </xdr:from>
    <xdr:to>
      <xdr:col>7</xdr:col>
      <xdr:colOff>76200</xdr:colOff>
      <xdr:row>37</xdr:row>
      <xdr:rowOff>47625</xdr:rowOff>
    </xdr:to>
    <xdr:sp macro="" textlink="">
      <xdr:nvSpPr>
        <xdr:cNvPr id="112" name="Round Diagonal Corner Rectangle 111">
          <a:hlinkClick xmlns:r="http://schemas.openxmlformats.org/officeDocument/2006/relationships" r:id="rId9"/>
          <a:extLst>
            <a:ext uri="{FF2B5EF4-FFF2-40B4-BE49-F238E27FC236}">
              <a16:creationId xmlns:a16="http://schemas.microsoft.com/office/drawing/2014/main" id="{00000000-0008-0000-0500-000070000000}"/>
            </a:ext>
          </a:extLst>
        </xdr:cNvPr>
        <xdr:cNvSpPr/>
      </xdr:nvSpPr>
      <xdr:spPr>
        <a:xfrm>
          <a:off x="4705350" y="7019925"/>
          <a:ext cx="1419225" cy="466725"/>
        </a:xfrm>
        <a:prstGeom prst="round2Diag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ZA" sz="1200" b="1">
              <a:latin typeface="Century Gothic" panose="020B0502020202020204" pitchFamily="34" charset="0"/>
            </a:rPr>
            <a:t>SAVINGS</a:t>
          </a:r>
        </a:p>
      </xdr:txBody>
    </xdr:sp>
    <xdr:clientData/>
  </xdr:twoCellAnchor>
  <xdr:twoCellAnchor>
    <xdr:from>
      <xdr:col>7</xdr:col>
      <xdr:colOff>390525</xdr:colOff>
      <xdr:row>35</xdr:row>
      <xdr:rowOff>0</xdr:rowOff>
    </xdr:from>
    <xdr:to>
      <xdr:col>10</xdr:col>
      <xdr:colOff>171450</xdr:colOff>
      <xdr:row>37</xdr:row>
      <xdr:rowOff>66675</xdr:rowOff>
    </xdr:to>
    <xdr:sp macro="" textlink="">
      <xdr:nvSpPr>
        <xdr:cNvPr id="113" name="Round Diagonal Corner Rectangle 112">
          <a:hlinkClick xmlns:r="http://schemas.openxmlformats.org/officeDocument/2006/relationships" r:id="rId10"/>
          <a:extLst>
            <a:ext uri="{FF2B5EF4-FFF2-40B4-BE49-F238E27FC236}">
              <a16:creationId xmlns:a16="http://schemas.microsoft.com/office/drawing/2014/main" id="{00000000-0008-0000-0500-000071000000}"/>
            </a:ext>
          </a:extLst>
        </xdr:cNvPr>
        <xdr:cNvSpPr/>
      </xdr:nvSpPr>
      <xdr:spPr>
        <a:xfrm>
          <a:off x="6438900" y="7038975"/>
          <a:ext cx="1781175" cy="466725"/>
        </a:xfrm>
        <a:prstGeom prst="round2DiagRect">
          <a:avLst/>
        </a:prstGeom>
        <a:gradFill>
          <a:gsLst>
            <a:gs pos="0">
              <a:schemeClr val="accent3">
                <a:lumMod val="50000"/>
              </a:schemeClr>
            </a:gs>
            <a:gs pos="80000">
              <a:schemeClr val="accent3">
                <a:lumMod val="60000"/>
                <a:lumOff val="40000"/>
              </a:schemeClr>
            </a:gs>
            <a:gs pos="100000">
              <a:schemeClr val="accent3">
                <a:lumMod val="50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ZA" sz="1200" b="1">
              <a:solidFill>
                <a:schemeClr val="tx1"/>
              </a:solidFill>
              <a:latin typeface="Century Gothic" panose="020B0502020202020204" pitchFamily="34" charset="0"/>
            </a:rPr>
            <a:t>MONTHLY BUDGET</a:t>
          </a:r>
        </a:p>
      </xdr:txBody>
    </xdr:sp>
    <xdr:clientData/>
  </xdr:twoCellAnchor>
  <xdr:twoCellAnchor>
    <xdr:from>
      <xdr:col>1</xdr:col>
      <xdr:colOff>619125</xdr:colOff>
      <xdr:row>12</xdr:row>
      <xdr:rowOff>114300</xdr:rowOff>
    </xdr:from>
    <xdr:to>
      <xdr:col>3</xdr:col>
      <xdr:colOff>776670</xdr:colOff>
      <xdr:row>25</xdr:row>
      <xdr:rowOff>19051</xdr:rowOff>
    </xdr:to>
    <xdr:grpSp>
      <xdr:nvGrpSpPr>
        <xdr:cNvPr id="114" name="Group 113">
          <a:extLst>
            <a:ext uri="{FF2B5EF4-FFF2-40B4-BE49-F238E27FC236}">
              <a16:creationId xmlns:a16="http://schemas.microsoft.com/office/drawing/2014/main" id="{00000000-0008-0000-0500-000072000000}"/>
            </a:ext>
          </a:extLst>
        </xdr:cNvPr>
        <xdr:cNvGrpSpPr/>
      </xdr:nvGrpSpPr>
      <xdr:grpSpPr>
        <a:xfrm>
          <a:off x="1228725" y="2514600"/>
          <a:ext cx="2538795" cy="2514601"/>
          <a:chOff x="1227260" y="2516799"/>
          <a:chExt cx="2538795" cy="2491155"/>
        </a:xfrm>
      </xdr:grpSpPr>
      <xdr:grpSp>
        <xdr:nvGrpSpPr>
          <xdr:cNvPr id="115" name="Group 114">
            <a:extLst>
              <a:ext uri="{FF2B5EF4-FFF2-40B4-BE49-F238E27FC236}">
                <a16:creationId xmlns:a16="http://schemas.microsoft.com/office/drawing/2014/main" id="{00000000-0008-0000-0500-000073000000}"/>
              </a:ext>
            </a:extLst>
          </xdr:cNvPr>
          <xdr:cNvGrpSpPr/>
        </xdr:nvGrpSpPr>
        <xdr:grpSpPr>
          <a:xfrm>
            <a:off x="1274885" y="2602889"/>
            <a:ext cx="2342024" cy="1806453"/>
            <a:chOff x="1274885" y="2602889"/>
            <a:chExt cx="2342024" cy="1806453"/>
          </a:xfrm>
        </xdr:grpSpPr>
        <xdr:cxnSp macro="">
          <xdr:nvCxnSpPr>
            <xdr:cNvPr id="140" name="Straight Connector 139">
              <a:extLst>
                <a:ext uri="{FF2B5EF4-FFF2-40B4-BE49-F238E27FC236}">
                  <a16:creationId xmlns:a16="http://schemas.microsoft.com/office/drawing/2014/main" id="{00000000-0008-0000-0500-00008C000000}"/>
                </a:ext>
              </a:extLst>
            </xdr:cNvPr>
            <xdr:cNvCxnSpPr/>
          </xdr:nvCxnSpPr>
          <xdr:spPr>
            <a:xfrm flipV="1">
              <a:off x="1441597" y="4248863"/>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1" name="Straight Connector 140">
              <a:extLst>
                <a:ext uri="{FF2B5EF4-FFF2-40B4-BE49-F238E27FC236}">
                  <a16:creationId xmlns:a16="http://schemas.microsoft.com/office/drawing/2014/main" id="{00000000-0008-0000-0500-00008D000000}"/>
                </a:ext>
              </a:extLst>
            </xdr:cNvPr>
            <xdr:cNvCxnSpPr/>
          </xdr:nvCxnSpPr>
          <xdr:spPr>
            <a:xfrm rot="960000" flipV="1">
              <a:off x="1274885" y="3825438"/>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2" name="Straight Connector 141">
              <a:extLst>
                <a:ext uri="{FF2B5EF4-FFF2-40B4-BE49-F238E27FC236}">
                  <a16:creationId xmlns:a16="http://schemas.microsoft.com/office/drawing/2014/main" id="{00000000-0008-0000-0500-00008E000000}"/>
                </a:ext>
              </a:extLst>
            </xdr:cNvPr>
            <xdr:cNvCxnSpPr/>
          </xdr:nvCxnSpPr>
          <xdr:spPr>
            <a:xfrm rot="2520000" flipV="1">
              <a:off x="1363144" y="3402012"/>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3" name="Straight Connector 142">
              <a:extLst>
                <a:ext uri="{FF2B5EF4-FFF2-40B4-BE49-F238E27FC236}">
                  <a16:creationId xmlns:a16="http://schemas.microsoft.com/office/drawing/2014/main" id="{00000000-0008-0000-0500-00008F000000}"/>
                </a:ext>
              </a:extLst>
            </xdr:cNvPr>
            <xdr:cNvCxnSpPr/>
          </xdr:nvCxnSpPr>
          <xdr:spPr>
            <a:xfrm rot="4080000" flipV="1">
              <a:off x="1562466" y="3007353"/>
              <a:ext cx="227229"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4" name="Straight Connector 143">
              <a:extLst>
                <a:ext uri="{FF2B5EF4-FFF2-40B4-BE49-F238E27FC236}">
                  <a16:creationId xmlns:a16="http://schemas.microsoft.com/office/drawing/2014/main" id="{00000000-0008-0000-0500-000090000000}"/>
                </a:ext>
              </a:extLst>
            </xdr:cNvPr>
            <xdr:cNvCxnSpPr/>
          </xdr:nvCxnSpPr>
          <xdr:spPr>
            <a:xfrm rot="5400000" flipV="1">
              <a:off x="1914404" y="2728676"/>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5" name="Straight Connector 144">
              <a:extLst>
                <a:ext uri="{FF2B5EF4-FFF2-40B4-BE49-F238E27FC236}">
                  <a16:creationId xmlns:a16="http://schemas.microsoft.com/office/drawing/2014/main" id="{00000000-0008-0000-0500-000091000000}"/>
                </a:ext>
              </a:extLst>
            </xdr:cNvPr>
            <xdr:cNvCxnSpPr/>
          </xdr:nvCxnSpPr>
          <xdr:spPr>
            <a:xfrm rot="6900000" flipV="1">
              <a:off x="2396151" y="2670337"/>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6" name="Straight Connector 145">
              <a:extLst>
                <a:ext uri="{FF2B5EF4-FFF2-40B4-BE49-F238E27FC236}">
                  <a16:creationId xmlns:a16="http://schemas.microsoft.com/office/drawing/2014/main" id="{00000000-0008-0000-0500-000092000000}"/>
                </a:ext>
              </a:extLst>
            </xdr:cNvPr>
            <xdr:cNvCxnSpPr/>
          </xdr:nvCxnSpPr>
          <xdr:spPr>
            <a:xfrm rot="8160000" flipV="1">
              <a:off x="2802512" y="2786319"/>
              <a:ext cx="235809"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7" name="Straight Connector 146">
              <a:extLst>
                <a:ext uri="{FF2B5EF4-FFF2-40B4-BE49-F238E27FC236}">
                  <a16:creationId xmlns:a16="http://schemas.microsoft.com/office/drawing/2014/main" id="{00000000-0008-0000-0500-000093000000}"/>
                </a:ext>
              </a:extLst>
            </xdr:cNvPr>
            <xdr:cNvCxnSpPr/>
          </xdr:nvCxnSpPr>
          <xdr:spPr>
            <a:xfrm rot="9600000" flipV="1">
              <a:off x="3167554" y="3036925"/>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8" name="Straight Connector 147">
              <a:extLst>
                <a:ext uri="{FF2B5EF4-FFF2-40B4-BE49-F238E27FC236}">
                  <a16:creationId xmlns:a16="http://schemas.microsoft.com/office/drawing/2014/main" id="{00000000-0008-0000-0500-000094000000}"/>
                </a:ext>
              </a:extLst>
            </xdr:cNvPr>
            <xdr:cNvCxnSpPr/>
          </xdr:nvCxnSpPr>
          <xdr:spPr>
            <a:xfrm rot="11100000" flipV="1">
              <a:off x="3383298" y="3431181"/>
              <a:ext cx="233611" cy="93729"/>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49" name="Straight Connector 148">
              <a:extLst>
                <a:ext uri="{FF2B5EF4-FFF2-40B4-BE49-F238E27FC236}">
                  <a16:creationId xmlns:a16="http://schemas.microsoft.com/office/drawing/2014/main" id="{00000000-0008-0000-0500-000095000000}"/>
                </a:ext>
              </a:extLst>
            </xdr:cNvPr>
            <xdr:cNvCxnSpPr/>
          </xdr:nvCxnSpPr>
          <xdr:spPr>
            <a:xfrm rot="12420000" flipV="1">
              <a:off x="3374899" y="3874054"/>
              <a:ext cx="233611" cy="91530"/>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0" name="Straight Connector 149">
              <a:extLst>
                <a:ext uri="{FF2B5EF4-FFF2-40B4-BE49-F238E27FC236}">
                  <a16:creationId xmlns:a16="http://schemas.microsoft.com/office/drawing/2014/main" id="{00000000-0008-0000-0500-000096000000}"/>
                </a:ext>
              </a:extLst>
            </xdr:cNvPr>
            <xdr:cNvCxnSpPr/>
          </xdr:nvCxnSpPr>
          <xdr:spPr>
            <a:xfrm rot="14040000" flipV="1">
              <a:off x="3227358" y="4247363"/>
              <a:ext cx="229427" cy="94532"/>
            </a:xfrm>
            <a:prstGeom prst="line">
              <a:avLst/>
            </a:prstGeom>
            <a:ln/>
          </xdr:spPr>
          <xdr:style>
            <a:lnRef idx="2">
              <a:schemeClr val="dk1"/>
            </a:lnRef>
            <a:fillRef idx="0">
              <a:schemeClr val="dk1"/>
            </a:fillRef>
            <a:effectRef idx="1">
              <a:schemeClr val="dk1"/>
            </a:effectRef>
            <a:fontRef idx="minor">
              <a:schemeClr val="tx1"/>
            </a:fontRef>
          </xdr:style>
        </xdr:cxnSp>
        <xdr:cxnSp macro="">
          <xdr:nvCxnSpPr>
            <xdr:cNvPr id="151" name="Straight Connector 150">
              <a:extLst>
                <a:ext uri="{FF2B5EF4-FFF2-40B4-BE49-F238E27FC236}">
                  <a16:creationId xmlns:a16="http://schemas.microsoft.com/office/drawing/2014/main" id="{00000000-0008-0000-0500-000097000000}"/>
                </a:ext>
              </a:extLst>
            </xdr:cNvPr>
            <xdr:cNvCxnSpPr/>
          </xdr:nvCxnSpPr>
          <xdr:spPr>
            <a:xfrm rot="-300000" flipV="1">
              <a:off x="1350355" y="3946542"/>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2" name="Straight Connector 151">
              <a:extLst>
                <a:ext uri="{FF2B5EF4-FFF2-40B4-BE49-F238E27FC236}">
                  <a16:creationId xmlns:a16="http://schemas.microsoft.com/office/drawing/2014/main" id="{00000000-0008-0000-0500-000098000000}"/>
                </a:ext>
              </a:extLst>
            </xdr:cNvPr>
            <xdr:cNvCxnSpPr/>
          </xdr:nvCxnSpPr>
          <xdr:spPr>
            <a:xfrm rot="-180000" flipV="1">
              <a:off x="1369405" y="4022252"/>
              <a:ext cx="216904" cy="42724"/>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3" name="Straight Connector 152">
              <a:extLst>
                <a:ext uri="{FF2B5EF4-FFF2-40B4-BE49-F238E27FC236}">
                  <a16:creationId xmlns:a16="http://schemas.microsoft.com/office/drawing/2014/main" id="{00000000-0008-0000-0500-000099000000}"/>
                </a:ext>
              </a:extLst>
            </xdr:cNvPr>
            <xdr:cNvCxnSpPr/>
          </xdr:nvCxnSpPr>
          <xdr:spPr>
            <a:xfrm rot="-240000" flipV="1">
              <a:off x="1401534" y="4110403"/>
              <a:ext cx="208194" cy="46945"/>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4" name="Straight Connector 153">
              <a:extLst>
                <a:ext uri="{FF2B5EF4-FFF2-40B4-BE49-F238E27FC236}">
                  <a16:creationId xmlns:a16="http://schemas.microsoft.com/office/drawing/2014/main" id="{00000000-0008-0000-0500-00009A000000}"/>
                </a:ext>
              </a:extLst>
            </xdr:cNvPr>
            <xdr:cNvCxnSpPr/>
          </xdr:nvCxnSpPr>
          <xdr:spPr>
            <a:xfrm rot="-300000" flipV="1">
              <a:off x="1437436" y="4186603"/>
              <a:ext cx="208194" cy="49143"/>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5" name="Straight Connector 154">
              <a:extLst>
                <a:ext uri="{FF2B5EF4-FFF2-40B4-BE49-F238E27FC236}">
                  <a16:creationId xmlns:a16="http://schemas.microsoft.com/office/drawing/2014/main" id="{00000000-0008-0000-0500-00009B000000}"/>
                </a:ext>
              </a:extLst>
            </xdr:cNvPr>
            <xdr:cNvCxnSpPr/>
          </xdr:nvCxnSpPr>
          <xdr:spPr>
            <a:xfrm rot="420000" flipV="1">
              <a:off x="1326909" y="3771430"/>
              <a:ext cx="218494" cy="25382"/>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6" name="Straight Connector 155">
              <a:extLst>
                <a:ext uri="{FF2B5EF4-FFF2-40B4-BE49-F238E27FC236}">
                  <a16:creationId xmlns:a16="http://schemas.microsoft.com/office/drawing/2014/main" id="{00000000-0008-0000-0500-00009C000000}"/>
                </a:ext>
              </a:extLst>
            </xdr:cNvPr>
            <xdr:cNvCxnSpPr/>
          </xdr:nvCxnSpPr>
          <xdr:spPr>
            <a:xfrm>
              <a:off x="1377735" y="3509511"/>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7" name="Straight Connector 156">
              <a:extLst>
                <a:ext uri="{FF2B5EF4-FFF2-40B4-BE49-F238E27FC236}">
                  <a16:creationId xmlns:a16="http://schemas.microsoft.com/office/drawing/2014/main" id="{00000000-0008-0000-0500-00009D000000}"/>
                </a:ext>
              </a:extLst>
            </xdr:cNvPr>
            <xdr:cNvCxnSpPr/>
          </xdr:nvCxnSpPr>
          <xdr:spPr>
            <a:xfrm rot="1740000" flipV="1">
              <a:off x="1309381" y="3575539"/>
              <a:ext cx="284228" cy="7614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8" name="Straight Connector 157">
              <a:extLst>
                <a:ext uri="{FF2B5EF4-FFF2-40B4-BE49-F238E27FC236}">
                  <a16:creationId xmlns:a16="http://schemas.microsoft.com/office/drawing/2014/main" id="{00000000-0008-0000-0500-00009E000000}"/>
                </a:ext>
              </a:extLst>
            </xdr:cNvPr>
            <xdr:cNvCxnSpPr/>
          </xdr:nvCxnSpPr>
          <xdr:spPr>
            <a:xfrm rot="-60000">
              <a:off x="1297537" y="3671596"/>
              <a:ext cx="274824" cy="46818"/>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59" name="Straight Connector 158">
              <a:extLst>
                <a:ext uri="{FF2B5EF4-FFF2-40B4-BE49-F238E27FC236}">
                  <a16:creationId xmlns:a16="http://schemas.microsoft.com/office/drawing/2014/main" id="{00000000-0008-0000-0500-00009F000000}"/>
                </a:ext>
              </a:extLst>
            </xdr:cNvPr>
            <xdr:cNvCxnSpPr/>
          </xdr:nvCxnSpPr>
          <xdr:spPr>
            <a:xfrm rot="420000">
              <a:off x="1406310" y="33468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0" name="Straight Connector 159">
              <a:extLst>
                <a:ext uri="{FF2B5EF4-FFF2-40B4-BE49-F238E27FC236}">
                  <a16:creationId xmlns:a16="http://schemas.microsoft.com/office/drawing/2014/main" id="{00000000-0008-0000-0500-0000A0000000}"/>
                </a:ext>
              </a:extLst>
            </xdr:cNvPr>
            <xdr:cNvCxnSpPr/>
          </xdr:nvCxnSpPr>
          <xdr:spPr>
            <a:xfrm rot="840000">
              <a:off x="1434885" y="3270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00000000-0008-0000-0500-0000A1000000}"/>
                </a:ext>
              </a:extLst>
            </xdr:cNvPr>
            <xdr:cNvCxnSpPr/>
          </xdr:nvCxnSpPr>
          <xdr:spPr>
            <a:xfrm rot="1080000">
              <a:off x="1463460" y="317979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2" name="Straight Connector 161">
              <a:extLst>
                <a:ext uri="{FF2B5EF4-FFF2-40B4-BE49-F238E27FC236}">
                  <a16:creationId xmlns:a16="http://schemas.microsoft.com/office/drawing/2014/main" id="{00000000-0008-0000-0500-0000A2000000}"/>
                </a:ext>
              </a:extLst>
            </xdr:cNvPr>
            <xdr:cNvCxnSpPr/>
          </xdr:nvCxnSpPr>
          <xdr:spPr>
            <a:xfrm rot="1500000">
              <a:off x="1492035" y="309114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00000000-0008-0000-0500-0000A3000000}"/>
                </a:ext>
              </a:extLst>
            </xdr:cNvPr>
            <xdr:cNvCxnSpPr/>
          </xdr:nvCxnSpPr>
          <xdr:spPr>
            <a:xfrm rot="2100000">
              <a:off x="1635643" y="297537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4" name="Straight Connector 163">
              <a:extLst>
                <a:ext uri="{FF2B5EF4-FFF2-40B4-BE49-F238E27FC236}">
                  <a16:creationId xmlns:a16="http://schemas.microsoft.com/office/drawing/2014/main" id="{00000000-0008-0000-0500-0000A4000000}"/>
                </a:ext>
              </a:extLst>
            </xdr:cNvPr>
            <xdr:cNvCxnSpPr/>
          </xdr:nvCxnSpPr>
          <xdr:spPr>
            <a:xfrm rot="2100000">
              <a:off x="1692060" y="2927753"/>
              <a:ext cx="225400"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5" name="Straight Connector 164">
              <a:extLst>
                <a:ext uri="{FF2B5EF4-FFF2-40B4-BE49-F238E27FC236}">
                  <a16:creationId xmlns:a16="http://schemas.microsoft.com/office/drawing/2014/main" id="{00000000-0008-0000-0500-0000A5000000}"/>
                </a:ext>
              </a:extLst>
            </xdr:cNvPr>
            <xdr:cNvCxnSpPr/>
          </xdr:nvCxnSpPr>
          <xdr:spPr>
            <a:xfrm rot="2460000">
              <a:off x="1785112" y="288965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6" name="Straight Connector 165">
              <a:extLst>
                <a:ext uri="{FF2B5EF4-FFF2-40B4-BE49-F238E27FC236}">
                  <a16:creationId xmlns:a16="http://schemas.microsoft.com/office/drawing/2014/main" id="{00000000-0008-0000-0500-0000A6000000}"/>
                </a:ext>
              </a:extLst>
            </xdr:cNvPr>
            <xdr:cNvCxnSpPr/>
          </xdr:nvCxnSpPr>
          <xdr:spPr>
            <a:xfrm rot="2820000">
              <a:off x="1861312" y="2842028"/>
              <a:ext cx="221004"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7" name="Straight Connector 166">
              <a:extLst>
                <a:ext uri="{FF2B5EF4-FFF2-40B4-BE49-F238E27FC236}">
                  <a16:creationId xmlns:a16="http://schemas.microsoft.com/office/drawing/2014/main" id="{00000000-0008-0000-0500-0000A7000000}"/>
                </a:ext>
              </a:extLst>
            </xdr:cNvPr>
            <xdr:cNvCxnSpPr/>
          </xdr:nvCxnSpPr>
          <xdr:spPr>
            <a:xfrm rot="4320000">
              <a:off x="2189193" y="2698786"/>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8" name="Straight Connector 167">
              <a:extLst>
                <a:ext uri="{FF2B5EF4-FFF2-40B4-BE49-F238E27FC236}">
                  <a16:creationId xmlns:a16="http://schemas.microsoft.com/office/drawing/2014/main" id="{00000000-0008-0000-0500-0000A8000000}"/>
                </a:ext>
              </a:extLst>
            </xdr:cNvPr>
            <xdr:cNvCxnSpPr/>
          </xdr:nvCxnSpPr>
          <xdr:spPr>
            <a:xfrm rot="4440000">
              <a:off x="2289572" y="2704648"/>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69" name="Straight Connector 168">
              <a:extLst>
                <a:ext uri="{FF2B5EF4-FFF2-40B4-BE49-F238E27FC236}">
                  <a16:creationId xmlns:a16="http://schemas.microsoft.com/office/drawing/2014/main" id="{00000000-0008-0000-0500-0000A9000000}"/>
                </a:ext>
              </a:extLst>
            </xdr:cNvPr>
            <xdr:cNvCxnSpPr/>
          </xdr:nvCxnSpPr>
          <xdr:spPr>
            <a:xfrm rot="3360000">
              <a:off x="2008947" y="2724431"/>
              <a:ext cx="223202"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70" name="Straight Connector 169">
              <a:extLst>
                <a:ext uri="{FF2B5EF4-FFF2-40B4-BE49-F238E27FC236}">
                  <a16:creationId xmlns:a16="http://schemas.microsoft.com/office/drawing/2014/main" id="{00000000-0008-0000-0500-0000AA000000}"/>
                </a:ext>
              </a:extLst>
            </xdr:cNvPr>
            <xdr:cNvCxnSpPr/>
          </xdr:nvCxnSpPr>
          <xdr:spPr>
            <a:xfrm rot="3960000">
              <a:off x="2095771" y="2710876"/>
              <a:ext cx="223202" cy="58701"/>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nvGrpSpPr>
          <xdr:cNvPr id="116" name="Group 115">
            <a:extLst>
              <a:ext uri="{FF2B5EF4-FFF2-40B4-BE49-F238E27FC236}">
                <a16:creationId xmlns:a16="http://schemas.microsoft.com/office/drawing/2014/main" id="{00000000-0008-0000-0500-000074000000}"/>
              </a:ext>
            </a:extLst>
          </xdr:cNvPr>
          <xdr:cNvGrpSpPr/>
        </xdr:nvGrpSpPr>
        <xdr:grpSpPr>
          <a:xfrm>
            <a:off x="1227260" y="2516799"/>
            <a:ext cx="2538795" cy="2491155"/>
            <a:chOff x="897892" y="2571747"/>
            <a:chExt cx="2480258" cy="2505073"/>
          </a:xfrm>
        </xdr:grpSpPr>
        <xdr:grpSp>
          <xdr:nvGrpSpPr>
            <xdr:cNvPr id="117" name="Group 116">
              <a:extLst>
                <a:ext uri="{FF2B5EF4-FFF2-40B4-BE49-F238E27FC236}">
                  <a16:creationId xmlns:a16="http://schemas.microsoft.com/office/drawing/2014/main" id="{00000000-0008-0000-0500-000075000000}"/>
                </a:ext>
              </a:extLst>
            </xdr:cNvPr>
            <xdr:cNvGrpSpPr/>
          </xdr:nvGrpSpPr>
          <xdr:grpSpPr>
            <a:xfrm>
              <a:off x="897892" y="2571747"/>
              <a:ext cx="2480258" cy="2505073"/>
              <a:chOff x="1583687" y="2314575"/>
              <a:chExt cx="2480254" cy="2505076"/>
            </a:xfrm>
          </xdr:grpSpPr>
          <xdr:sp macro="" textlink="">
            <xdr:nvSpPr>
              <xdr:cNvPr id="138" name="Oval 137">
                <a:extLst>
                  <a:ext uri="{FF2B5EF4-FFF2-40B4-BE49-F238E27FC236}">
                    <a16:creationId xmlns:a16="http://schemas.microsoft.com/office/drawing/2014/main" id="{00000000-0008-0000-0500-00008A000000}"/>
                  </a:ext>
                </a:extLst>
              </xdr:cNvPr>
              <xdr:cNvSpPr/>
            </xdr:nvSpPr>
            <xdr:spPr>
              <a:xfrm>
                <a:off x="1583687" y="2314575"/>
                <a:ext cx="2480254" cy="2505076"/>
              </a:xfrm>
              <a:prstGeom prst="ellipse">
                <a:avLst/>
              </a:prstGeom>
              <a:noFill/>
              <a:ln w="190500">
                <a:gradFill>
                  <a:gsLst>
                    <a:gs pos="0">
                      <a:schemeClr val="accent3">
                        <a:lumMod val="50000"/>
                      </a:schemeClr>
                    </a:gs>
                    <a:gs pos="50000">
                      <a:schemeClr val="accent3">
                        <a:lumMod val="75000"/>
                      </a:schemeClr>
                    </a:gs>
                    <a:gs pos="100000">
                      <a:schemeClr val="accent3">
                        <a:lumMod val="50000"/>
                        <a:alpha val="83000"/>
                      </a:schemeClr>
                    </a:gs>
                  </a:gsLst>
                  <a:lin ang="5400000" scaled="0"/>
                </a:gra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ZA" sz="1100"/>
              </a:p>
            </xdr:txBody>
          </xdr:sp>
          <xdr:sp macro="" textlink="">
            <xdr:nvSpPr>
              <xdr:cNvPr id="139" name="Oval 138">
                <a:extLst>
                  <a:ext uri="{FF2B5EF4-FFF2-40B4-BE49-F238E27FC236}">
                    <a16:creationId xmlns:a16="http://schemas.microsoft.com/office/drawing/2014/main" id="{00000000-0008-0000-0500-00008B000000}"/>
                  </a:ext>
                </a:extLst>
              </xdr:cNvPr>
              <xdr:cNvSpPr/>
            </xdr:nvSpPr>
            <xdr:spPr>
              <a:xfrm>
                <a:off x="1655550" y="2411874"/>
                <a:ext cx="2315372" cy="2333626"/>
              </a:xfrm>
              <a:prstGeom prst="ellipse">
                <a:avLst/>
              </a:prstGeom>
              <a:solidFill>
                <a:schemeClr val="accent3">
                  <a:lumMod val="60000"/>
                  <a:lumOff val="40000"/>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xnSp macro="">
          <xdr:nvCxnSpPr>
            <xdr:cNvPr id="118" name="Straight Connector 117">
              <a:extLst>
                <a:ext uri="{FF2B5EF4-FFF2-40B4-BE49-F238E27FC236}">
                  <a16:creationId xmlns:a16="http://schemas.microsoft.com/office/drawing/2014/main" id="{00000000-0008-0000-0500-000076000000}"/>
                </a:ext>
              </a:extLst>
            </xdr:cNvPr>
            <xdr:cNvCxnSpPr/>
          </xdr:nvCxnSpPr>
          <xdr:spPr>
            <a:xfrm rot="4800000">
              <a:off x="2129482" y="2755443"/>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19" name="Straight Connector 118">
              <a:extLst>
                <a:ext uri="{FF2B5EF4-FFF2-40B4-BE49-F238E27FC236}">
                  <a16:creationId xmlns:a16="http://schemas.microsoft.com/office/drawing/2014/main" id="{00000000-0008-0000-0500-000077000000}"/>
                </a:ext>
              </a:extLst>
            </xdr:cNvPr>
            <xdr:cNvCxnSpPr/>
          </xdr:nvCxnSpPr>
          <xdr:spPr>
            <a:xfrm rot="4980000">
              <a:off x="2222365" y="275975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0" name="Straight Connector 119">
              <a:extLst>
                <a:ext uri="{FF2B5EF4-FFF2-40B4-BE49-F238E27FC236}">
                  <a16:creationId xmlns:a16="http://schemas.microsoft.com/office/drawing/2014/main" id="{00000000-0008-0000-0500-000078000000}"/>
                </a:ext>
              </a:extLst>
            </xdr:cNvPr>
            <xdr:cNvCxnSpPr/>
          </xdr:nvCxnSpPr>
          <xdr:spPr>
            <a:xfrm rot="5280000">
              <a:off x="2300931" y="279875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1" name="Straight Connector 120">
              <a:extLst>
                <a:ext uri="{FF2B5EF4-FFF2-40B4-BE49-F238E27FC236}">
                  <a16:creationId xmlns:a16="http://schemas.microsoft.com/office/drawing/2014/main" id="{00000000-0008-0000-0500-000079000000}"/>
                </a:ext>
              </a:extLst>
            </xdr:cNvPr>
            <xdr:cNvCxnSpPr/>
          </xdr:nvCxnSpPr>
          <xdr:spPr>
            <a:xfrm rot="5640000">
              <a:off x="2365181" y="2823086"/>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2" name="Straight Connector 121">
              <a:extLst>
                <a:ext uri="{FF2B5EF4-FFF2-40B4-BE49-F238E27FC236}">
                  <a16:creationId xmlns:a16="http://schemas.microsoft.com/office/drawing/2014/main" id="{00000000-0008-0000-0500-00007A000000}"/>
                </a:ext>
              </a:extLst>
            </xdr:cNvPr>
            <xdr:cNvCxnSpPr/>
          </xdr:nvCxnSpPr>
          <xdr:spPr>
            <a:xfrm rot="6300000">
              <a:off x="2529531" y="288142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3" name="Straight Connector 122">
              <a:extLst>
                <a:ext uri="{FF2B5EF4-FFF2-40B4-BE49-F238E27FC236}">
                  <a16:creationId xmlns:a16="http://schemas.microsoft.com/office/drawing/2014/main" id="{00000000-0008-0000-0500-00007B000000}"/>
                </a:ext>
              </a:extLst>
            </xdr:cNvPr>
            <xdr:cNvCxnSpPr/>
          </xdr:nvCxnSpPr>
          <xdr:spPr>
            <a:xfrm rot="6540000">
              <a:off x="2598570" y="2929051"/>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4" name="Straight Connector 123">
              <a:extLst>
                <a:ext uri="{FF2B5EF4-FFF2-40B4-BE49-F238E27FC236}">
                  <a16:creationId xmlns:a16="http://schemas.microsoft.com/office/drawing/2014/main" id="{00000000-0008-0000-0500-00007C000000}"/>
                </a:ext>
              </a:extLst>
            </xdr:cNvPr>
            <xdr:cNvCxnSpPr/>
          </xdr:nvCxnSpPr>
          <xdr:spPr>
            <a:xfrm rot="6840000">
              <a:off x="2662878" y="2984042"/>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5" name="Straight Connector 124">
              <a:extLst>
                <a:ext uri="{FF2B5EF4-FFF2-40B4-BE49-F238E27FC236}">
                  <a16:creationId xmlns:a16="http://schemas.microsoft.com/office/drawing/2014/main" id="{00000000-0008-0000-0500-00007D000000}"/>
                </a:ext>
              </a:extLst>
            </xdr:cNvPr>
            <xdr:cNvCxnSpPr/>
          </xdr:nvCxnSpPr>
          <xdr:spPr>
            <a:xfrm rot="7200000">
              <a:off x="2715238" y="3033824"/>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500-00007E000000}"/>
                </a:ext>
              </a:extLst>
            </xdr:cNvPr>
            <xdr:cNvCxnSpPr/>
          </xdr:nvCxnSpPr>
          <xdr:spPr>
            <a:xfrm rot="7860000">
              <a:off x="2843740" y="3171851"/>
              <a:ext cx="225399"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7" name="Straight Connector 126">
              <a:extLst>
                <a:ext uri="{FF2B5EF4-FFF2-40B4-BE49-F238E27FC236}">
                  <a16:creationId xmlns:a16="http://schemas.microsoft.com/office/drawing/2014/main" id="{00000000-0008-0000-0500-00007F000000}"/>
                </a:ext>
              </a:extLst>
            </xdr:cNvPr>
            <xdr:cNvCxnSpPr/>
          </xdr:nvCxnSpPr>
          <xdr:spPr>
            <a:xfrm rot="8100000">
              <a:off x="2905682" y="3236366"/>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8" name="Straight Connector 127">
              <a:extLst>
                <a:ext uri="{FF2B5EF4-FFF2-40B4-BE49-F238E27FC236}">
                  <a16:creationId xmlns:a16="http://schemas.microsoft.com/office/drawing/2014/main" id="{00000000-0008-0000-0500-000080000000}"/>
                </a:ext>
              </a:extLst>
            </xdr:cNvPr>
            <xdr:cNvCxnSpPr/>
          </xdr:nvCxnSpPr>
          <xdr:spPr>
            <a:xfrm rot="8220000">
              <a:off x="2955730" y="3308252"/>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29" name="Straight Connector 128">
              <a:extLst>
                <a:ext uri="{FF2B5EF4-FFF2-40B4-BE49-F238E27FC236}">
                  <a16:creationId xmlns:a16="http://schemas.microsoft.com/office/drawing/2014/main" id="{00000000-0008-0000-0500-000081000000}"/>
                </a:ext>
              </a:extLst>
            </xdr:cNvPr>
            <xdr:cNvCxnSpPr/>
          </xdr:nvCxnSpPr>
          <xdr:spPr>
            <a:xfrm rot="8520000">
              <a:off x="2996197" y="3400085"/>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0" name="Straight Connector 129">
              <a:extLst>
                <a:ext uri="{FF2B5EF4-FFF2-40B4-BE49-F238E27FC236}">
                  <a16:creationId xmlns:a16="http://schemas.microsoft.com/office/drawing/2014/main" id="{00000000-0008-0000-0500-000082000000}"/>
                </a:ext>
              </a:extLst>
            </xdr:cNvPr>
            <xdr:cNvCxnSpPr/>
          </xdr:nvCxnSpPr>
          <xdr:spPr>
            <a:xfrm rot="9240000">
              <a:off x="3062985" y="3596688"/>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1" name="Straight Connector 130">
              <a:extLst>
                <a:ext uri="{FF2B5EF4-FFF2-40B4-BE49-F238E27FC236}">
                  <a16:creationId xmlns:a16="http://schemas.microsoft.com/office/drawing/2014/main" id="{00000000-0008-0000-0500-000083000000}"/>
                </a:ext>
              </a:extLst>
            </xdr:cNvPr>
            <xdr:cNvCxnSpPr/>
          </xdr:nvCxnSpPr>
          <xdr:spPr>
            <a:xfrm rot="9420000">
              <a:off x="3074877" y="3691937"/>
              <a:ext cx="225401"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2" name="Straight Connector 131">
              <a:extLst>
                <a:ext uri="{FF2B5EF4-FFF2-40B4-BE49-F238E27FC236}">
                  <a16:creationId xmlns:a16="http://schemas.microsoft.com/office/drawing/2014/main" id="{00000000-0008-0000-0500-000084000000}"/>
                </a:ext>
              </a:extLst>
            </xdr:cNvPr>
            <xdr:cNvCxnSpPr/>
          </xdr:nvCxnSpPr>
          <xdr:spPr>
            <a:xfrm rot="9720000">
              <a:off x="3077302" y="3777659"/>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3" name="Straight Connector 132">
              <a:extLst>
                <a:ext uri="{FF2B5EF4-FFF2-40B4-BE49-F238E27FC236}">
                  <a16:creationId xmlns:a16="http://schemas.microsoft.com/office/drawing/2014/main" id="{00000000-0008-0000-0500-000085000000}"/>
                </a:ext>
              </a:extLst>
            </xdr:cNvPr>
            <xdr:cNvCxnSpPr/>
          </xdr:nvCxnSpPr>
          <xdr:spPr>
            <a:xfrm rot="9840000">
              <a:off x="3074934" y="3863385"/>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4" name="Straight Connector 133">
              <a:extLst>
                <a:ext uri="{FF2B5EF4-FFF2-40B4-BE49-F238E27FC236}">
                  <a16:creationId xmlns:a16="http://schemas.microsoft.com/office/drawing/2014/main" id="{00000000-0008-0000-0500-000086000000}"/>
                </a:ext>
              </a:extLst>
            </xdr:cNvPr>
            <xdr:cNvCxnSpPr/>
          </xdr:nvCxnSpPr>
          <xdr:spPr>
            <a:xfrm rot="10440000">
              <a:off x="3024828" y="40443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5" name="Straight Connector 134">
              <a:extLst>
                <a:ext uri="{FF2B5EF4-FFF2-40B4-BE49-F238E27FC236}">
                  <a16:creationId xmlns:a16="http://schemas.microsoft.com/office/drawing/2014/main" id="{00000000-0008-0000-0500-000087000000}"/>
                </a:ext>
              </a:extLst>
            </xdr:cNvPr>
            <xdr:cNvCxnSpPr/>
          </xdr:nvCxnSpPr>
          <xdr:spPr>
            <a:xfrm rot="10800000">
              <a:off x="3010567" y="412055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6" name="Straight Connector 135">
              <a:extLst>
                <a:ext uri="{FF2B5EF4-FFF2-40B4-BE49-F238E27FC236}">
                  <a16:creationId xmlns:a16="http://schemas.microsoft.com/office/drawing/2014/main" id="{00000000-0008-0000-0500-000088000000}"/>
                </a:ext>
              </a:extLst>
            </xdr:cNvPr>
            <xdr:cNvCxnSpPr/>
          </xdr:nvCxnSpPr>
          <xdr:spPr>
            <a:xfrm rot="11040000">
              <a:off x="2981988" y="4189377"/>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500-000089000000}"/>
                </a:ext>
              </a:extLst>
            </xdr:cNvPr>
            <xdr:cNvCxnSpPr/>
          </xdr:nvCxnSpPr>
          <xdr:spPr>
            <a:xfrm rot="11400000">
              <a:off x="2939095" y="4265608"/>
              <a:ext cx="225400" cy="60899"/>
            </a:xfrm>
            <a:prstGeom prst="line">
              <a:avLst/>
            </a:prstGeom>
            <a:ln>
              <a:solidFill>
                <a:schemeClr val="tx1">
                  <a:lumMod val="50000"/>
                  <a:lumOff val="50000"/>
                </a:schemeClr>
              </a:solidFill>
            </a:ln>
          </xdr:spPr>
          <xdr:style>
            <a:lnRef idx="1">
              <a:schemeClr val="accent2"/>
            </a:lnRef>
            <a:fillRef idx="0">
              <a:schemeClr val="accent2"/>
            </a:fillRef>
            <a:effectRef idx="0">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7.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9.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3.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Y52"/>
  <sheetViews>
    <sheetView workbookViewId="0"/>
  </sheetViews>
  <sheetFormatPr defaultRowHeight="14.25" x14ac:dyDescent="0.3"/>
  <sheetData>
    <row r="1" spans="1:25" x14ac:dyDescent="0.3">
      <c r="A1" s="249"/>
      <c r="B1" s="249"/>
      <c r="C1" s="249"/>
      <c r="D1" s="249"/>
      <c r="E1" s="249"/>
      <c r="F1" s="249"/>
      <c r="G1" s="249"/>
      <c r="H1" s="249"/>
      <c r="I1" s="249"/>
      <c r="J1" s="249"/>
      <c r="K1" s="249"/>
      <c r="L1" s="249"/>
      <c r="M1" s="249"/>
      <c r="N1" s="249"/>
      <c r="O1" s="249"/>
      <c r="P1" s="249"/>
      <c r="Q1" s="249"/>
      <c r="R1" s="249"/>
      <c r="S1" s="249"/>
      <c r="T1" s="249"/>
      <c r="U1" s="249"/>
      <c r="V1" s="249"/>
      <c r="W1" s="249"/>
      <c r="X1" s="249"/>
      <c r="Y1" s="249"/>
    </row>
    <row r="2" spans="1:25" x14ac:dyDescent="0.3">
      <c r="A2" s="249"/>
      <c r="B2" s="249"/>
      <c r="C2" s="249"/>
      <c r="D2" s="249"/>
      <c r="E2" s="249"/>
      <c r="F2" s="249"/>
      <c r="G2" s="249"/>
      <c r="H2" s="249"/>
      <c r="I2" s="249"/>
      <c r="J2" s="249"/>
      <c r="K2" s="249"/>
      <c r="L2" s="249"/>
      <c r="M2" s="249"/>
      <c r="N2" s="249"/>
      <c r="O2" s="249"/>
      <c r="P2" s="249"/>
      <c r="Q2" s="249"/>
      <c r="R2" s="249"/>
      <c r="S2" s="249"/>
      <c r="T2" s="249"/>
      <c r="U2" s="249"/>
      <c r="V2" s="249"/>
      <c r="W2" s="249"/>
      <c r="X2" s="249"/>
      <c r="Y2" s="249"/>
    </row>
    <row r="3" spans="1:25" x14ac:dyDescent="0.3">
      <c r="A3" s="249"/>
      <c r="B3" s="249"/>
      <c r="C3" s="249"/>
      <c r="D3" s="249"/>
      <c r="E3" s="249"/>
      <c r="F3" s="249"/>
      <c r="G3" s="249"/>
      <c r="H3" s="249"/>
      <c r="I3" s="249"/>
      <c r="J3" s="249"/>
      <c r="K3" s="249"/>
      <c r="L3" s="249"/>
      <c r="M3" s="249"/>
      <c r="N3" s="249"/>
      <c r="O3" s="249"/>
      <c r="P3" s="249"/>
      <c r="Q3" s="249"/>
      <c r="R3" s="249"/>
      <c r="S3" s="249"/>
      <c r="T3" s="249"/>
      <c r="U3" s="249"/>
      <c r="V3" s="249"/>
      <c r="W3" s="249"/>
      <c r="X3" s="249"/>
      <c r="Y3" s="249"/>
    </row>
    <row r="4" spans="1:25" x14ac:dyDescent="0.3">
      <c r="A4" s="249"/>
      <c r="B4" s="249"/>
      <c r="C4" s="249"/>
      <c r="D4" s="249"/>
      <c r="E4" s="249"/>
      <c r="F4" s="249"/>
      <c r="G4" s="249"/>
      <c r="H4" s="249"/>
      <c r="I4" s="249"/>
      <c r="J4" s="249"/>
      <c r="K4" s="249"/>
      <c r="L4" s="249"/>
      <c r="M4" s="249"/>
      <c r="N4" s="249"/>
      <c r="O4" s="249"/>
      <c r="P4" s="249"/>
      <c r="Q4" s="249"/>
      <c r="R4" s="249"/>
      <c r="S4" s="249"/>
      <c r="T4" s="249"/>
      <c r="U4" s="249"/>
      <c r="V4" s="249"/>
      <c r="W4" s="249"/>
      <c r="X4" s="249"/>
      <c r="Y4" s="249"/>
    </row>
    <row r="5" spans="1:25" x14ac:dyDescent="0.3">
      <c r="A5" s="249"/>
      <c r="B5" s="249"/>
      <c r="C5" s="249"/>
      <c r="D5" s="249"/>
      <c r="E5" s="249"/>
      <c r="F5" s="249"/>
      <c r="G5" s="249"/>
      <c r="H5" s="249"/>
      <c r="I5" s="249"/>
      <c r="J5" s="249"/>
      <c r="K5" s="249"/>
      <c r="L5" s="249"/>
      <c r="M5" s="249"/>
      <c r="N5" s="249"/>
      <c r="O5" s="249"/>
      <c r="P5" s="249"/>
      <c r="Q5" s="249"/>
      <c r="R5" s="249"/>
      <c r="S5" s="249"/>
      <c r="T5" s="249"/>
      <c r="U5" s="249"/>
      <c r="V5" s="249"/>
      <c r="W5" s="249"/>
      <c r="X5" s="249"/>
      <c r="Y5" s="249"/>
    </row>
    <row r="6" spans="1:25" x14ac:dyDescent="0.3">
      <c r="A6" s="249" t="s">
        <v>1778</v>
      </c>
      <c r="B6" s="249"/>
      <c r="C6" s="249"/>
      <c r="D6" s="249"/>
      <c r="E6" s="249"/>
      <c r="F6" s="249"/>
      <c r="G6" s="249"/>
      <c r="H6" s="249"/>
      <c r="I6" s="249"/>
      <c r="J6" s="249"/>
      <c r="K6" s="249"/>
      <c r="L6" s="249"/>
      <c r="M6" s="249"/>
      <c r="N6" s="249"/>
      <c r="O6" s="249"/>
      <c r="P6" s="249"/>
      <c r="Q6" s="249"/>
      <c r="R6" s="249"/>
      <c r="S6" s="249"/>
      <c r="T6" s="249"/>
      <c r="U6" s="249"/>
      <c r="V6" s="249"/>
      <c r="W6" s="249"/>
      <c r="X6" s="249"/>
      <c r="Y6" s="249"/>
    </row>
    <row r="7" spans="1:25" ht="16.5" x14ac:dyDescent="0.3">
      <c r="A7" s="250"/>
      <c r="B7" s="251"/>
      <c r="C7" s="251"/>
      <c r="D7" s="251"/>
      <c r="E7" s="251"/>
      <c r="F7" s="251"/>
      <c r="G7" s="251"/>
      <c r="H7" s="251"/>
      <c r="I7" s="251"/>
      <c r="J7" s="251"/>
      <c r="K7" s="251"/>
      <c r="L7" s="251"/>
      <c r="M7" s="251"/>
      <c r="N7" s="251"/>
      <c r="O7" s="251"/>
      <c r="P7" s="251"/>
      <c r="Q7" s="251"/>
      <c r="R7" s="251"/>
      <c r="S7" s="251"/>
      <c r="T7" s="251"/>
      <c r="U7" s="251"/>
      <c r="V7" s="251"/>
      <c r="W7" s="251"/>
      <c r="X7" s="251"/>
      <c r="Y7" s="251"/>
    </row>
    <row r="8" spans="1:25" x14ac:dyDescent="0.3">
      <c r="A8" s="267" t="s">
        <v>1799</v>
      </c>
      <c r="B8" s="267"/>
      <c r="C8" s="267"/>
      <c r="D8" s="267"/>
      <c r="E8" s="267"/>
      <c r="F8" s="267"/>
      <c r="G8" s="267"/>
      <c r="H8" s="267"/>
      <c r="I8" s="267"/>
      <c r="J8" s="267"/>
      <c r="K8" s="267"/>
      <c r="L8" s="267"/>
      <c r="M8" s="267"/>
      <c r="N8" s="267"/>
      <c r="O8" s="267"/>
      <c r="P8" s="267"/>
      <c r="Q8" s="267"/>
      <c r="R8" s="267"/>
      <c r="S8" s="267"/>
      <c r="T8" s="267"/>
      <c r="U8" s="267"/>
      <c r="V8" s="267"/>
      <c r="W8" s="267"/>
      <c r="X8" s="267"/>
      <c r="Y8" s="267"/>
    </row>
    <row r="9" spans="1:25" ht="15.75" x14ac:dyDescent="0.3">
      <c r="A9" s="253"/>
      <c r="B9" s="253"/>
      <c r="C9" s="253"/>
      <c r="D9" s="253"/>
      <c r="E9" s="253"/>
      <c r="F9" s="253"/>
      <c r="G9" s="253"/>
      <c r="H9" s="253"/>
      <c r="I9" s="253"/>
      <c r="J9" s="253"/>
      <c r="K9" s="253"/>
      <c r="L9" s="253"/>
      <c r="M9" s="253"/>
      <c r="N9" s="253"/>
      <c r="O9" s="253"/>
      <c r="P9" s="253"/>
      <c r="Q9" s="253"/>
      <c r="R9" s="253"/>
      <c r="S9" s="253"/>
      <c r="T9" s="253"/>
      <c r="U9" s="253"/>
      <c r="V9" s="253"/>
      <c r="W9" s="253"/>
      <c r="X9" s="253"/>
      <c r="Y9" s="253"/>
    </row>
    <row r="10" spans="1:25" x14ac:dyDescent="0.3">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row>
    <row r="11" spans="1:25" x14ac:dyDescent="0.3">
      <c r="A11" s="255"/>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row>
    <row r="12" spans="1:25" x14ac:dyDescent="0.3">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row>
    <row r="13" spans="1:25" ht="15" x14ac:dyDescent="0.3">
      <c r="A13" s="268" t="s">
        <v>1800</v>
      </c>
      <c r="B13" s="268"/>
      <c r="C13" s="268"/>
      <c r="D13" s="268"/>
      <c r="E13" s="268"/>
      <c r="F13" s="268"/>
      <c r="G13" s="268"/>
      <c r="H13" s="268"/>
      <c r="I13" s="268"/>
      <c r="J13" s="268"/>
      <c r="K13" s="268"/>
      <c r="L13" s="268"/>
      <c r="M13" s="268"/>
      <c r="N13" s="268"/>
      <c r="O13" s="259"/>
      <c r="P13" s="259"/>
      <c r="Q13" s="259"/>
      <c r="R13" s="259"/>
      <c r="S13" s="259"/>
      <c r="T13" s="259"/>
      <c r="U13" s="259"/>
      <c r="V13" s="259"/>
      <c r="W13" s="259"/>
      <c r="X13" s="259"/>
      <c r="Y13" s="259"/>
    </row>
    <row r="14" spans="1:25" x14ac:dyDescent="0.3">
      <c r="A14" s="256"/>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row>
    <row r="15" spans="1:25" x14ac:dyDescent="0.3">
      <c r="A15" s="256"/>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row>
    <row r="16" spans="1:25" x14ac:dyDescent="0.3">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row>
    <row r="17" spans="1:25" x14ac:dyDescent="0.3">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row>
    <row r="18" spans="1:25" x14ac:dyDescent="0.3">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row>
    <row r="19" spans="1:25" x14ac:dyDescent="0.3">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row>
    <row r="20" spans="1:25" x14ac:dyDescent="0.3">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row>
    <row r="21" spans="1:25" x14ac:dyDescent="0.3">
      <c r="A21" s="25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row>
    <row r="22" spans="1:25" x14ac:dyDescent="0.3">
      <c r="A22" s="256"/>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row>
    <row r="23" spans="1:25" x14ac:dyDescent="0.3">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row>
    <row r="24" spans="1:25" x14ac:dyDescent="0.3">
      <c r="A24" s="256"/>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row>
    <row r="25" spans="1:25" ht="14.25" customHeight="1" x14ac:dyDescent="0.3">
      <c r="A25" s="256"/>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row>
    <row r="26" spans="1:25" x14ac:dyDescent="0.3">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row>
    <row r="27" spans="1:25" x14ac:dyDescent="0.3">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row>
    <row r="28" spans="1:25" x14ac:dyDescent="0.3">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row>
    <row r="29" spans="1:25" x14ac:dyDescent="0.3">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row>
    <row r="30" spans="1:25" ht="64.5" customHeight="1" x14ac:dyDescent="0.3">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row>
    <row r="31" spans="1:25" ht="78.75" customHeight="1" x14ac:dyDescent="0.3">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row>
    <row r="32" spans="1:25" ht="57" customHeight="1" x14ac:dyDescent="0.3">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row>
    <row r="33" spans="1:25" x14ac:dyDescent="0.3">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row>
    <row r="34" spans="1:25" ht="41.25" customHeight="1" x14ac:dyDescent="0.3">
      <c r="A34" s="256"/>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row>
    <row r="35" spans="1:25" x14ac:dyDescent="0.3">
      <c r="A35" s="256"/>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row>
    <row r="36" spans="1:25" x14ac:dyDescent="0.3">
      <c r="A36" s="256"/>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row>
    <row r="37" spans="1:25" x14ac:dyDescent="0.3">
      <c r="A37" s="256"/>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row>
    <row r="38" spans="1:25" x14ac:dyDescent="0.3">
      <c r="A38" s="256"/>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row>
    <row r="39" spans="1:25" x14ac:dyDescent="0.3">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row>
    <row r="40" spans="1:25" x14ac:dyDescent="0.3">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row>
    <row r="41" spans="1:25" x14ac:dyDescent="0.3">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row>
    <row r="42" spans="1:25" x14ac:dyDescent="0.3">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row>
    <row r="43" spans="1:25" x14ac:dyDescent="0.3">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row>
    <row r="44" spans="1:25" x14ac:dyDescent="0.3">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25" x14ac:dyDescent="0.3">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row>
    <row r="46" spans="1:25" x14ac:dyDescent="0.3">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row>
    <row r="47" spans="1:25" x14ac:dyDescent="0.3">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row>
    <row r="48" spans="1:25" x14ac:dyDescent="0.3">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row>
    <row r="49" spans="1:25" x14ac:dyDescent="0.3">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row>
    <row r="50" spans="1:25" x14ac:dyDescent="0.3">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row>
    <row r="51" spans="1:25" x14ac:dyDescent="0.3">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row>
    <row r="52" spans="1:25" x14ac:dyDescent="0.3">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row>
  </sheetData>
  <sheetProtection password="81D1" sheet="1" objects="1" scenarios="1" selectLockedCells="1"/>
  <mergeCells count="2">
    <mergeCell ref="A8:Y8"/>
    <mergeCell ref="A13:N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Z70"/>
  <sheetViews>
    <sheetView topLeftCell="A20"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SUM(Formal_Aug_SubTotal+Informal_Aug_SubTotal+Friends_family_Aug_SubTotal)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Formal_Aug_SubTotal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Total_Income_Actual_Aug</f>
        <v>0</v>
      </c>
      <c r="C30" s="5"/>
      <c r="D30" s="5"/>
      <c r="E30" s="5"/>
      <c r="F30" s="5"/>
      <c r="G30" s="5"/>
      <c r="H30" s="5"/>
      <c r="I30" s="5"/>
      <c r="J30" s="5"/>
      <c r="K30" s="5"/>
      <c r="L30" s="126" t="str">
        <f>L42</f>
        <v>Goals</v>
      </c>
      <c r="M30" s="5"/>
      <c r="N30" s="126">
        <f>N42</f>
        <v>0</v>
      </c>
      <c r="O30" s="5"/>
      <c r="P30" s="121">
        <f>Informal_Aug_SubTotal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Total_Expenses_Aug</f>
        <v>0</v>
      </c>
      <c r="H32" s="5"/>
      <c r="I32" s="5"/>
      <c r="J32" s="5"/>
      <c r="K32" s="5"/>
      <c r="L32" s="123" t="str">
        <f>L47</f>
        <v>Savings and Investments</v>
      </c>
      <c r="M32" s="125"/>
      <c r="N32" s="124">
        <f>N47</f>
        <v>0</v>
      </c>
      <c r="O32" s="5"/>
      <c r="P32" s="132">
        <f>Friends_family_Aug_SubTotal</f>
        <v>0</v>
      </c>
      <c r="Q32" s="5"/>
      <c r="R32" s="1"/>
    </row>
    <row r="33" spans="1:26" ht="15.75" x14ac:dyDescent="0.3">
      <c r="A33" s="1"/>
      <c r="B33" s="119">
        <f>(Total_Income_Actual_Aug-Total_Expenses_Aug)</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1750</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IFERROR(SUM(Goals_AugSavings),"")</f>
        <v>0</v>
      </c>
      <c r="O42" s="113" t="str">
        <f>IFERROR(SUM(Over_under_Goals_Aug),"")</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Savings_Goal_MonthlySavings_Aug_1</f>
        <v>0</v>
      </c>
      <c r="O43" s="146" t="e">
        <f>(Savings_Goal_MonthlySavings_Aug_1+Savings_Goal_MinSavings_1)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Savings_Goal_MonthlySavings_Aug_2</f>
        <v>0</v>
      </c>
      <c r="O44" s="146" t="e">
        <f>(Savings_Goal_MonthlySavings_Aug_2+Savings_Goal_MinSavings_2)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Savings_Goal_MonthlySavings_Aug_3</f>
        <v>0</v>
      </c>
      <c r="O45" s="146" t="e">
        <f>(Savings_Goal_MonthlySavings_Aug_3+Savings_Goal_MinSavings_3)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Savings_Goal_MonthlySavings_Aug_4</f>
        <v>0</v>
      </c>
      <c r="O46" s="146" t="e">
        <f>(Savings_Goal_MonthlySavings_Aug_4+Savings_Goal_MinSavings_4)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IFERROR(SUM(SavingsInvestments_AugSavings),"")</f>
        <v>0</v>
      </c>
      <c r="O47" s="114" t="str">
        <f>IFERROR(SUM(Over_Under_Savings_Aug),"")</f>
        <v/>
      </c>
      <c r="P47" s="133"/>
      <c r="Q47" s="133"/>
      <c r="R47" s="1"/>
      <c r="T47" s="115"/>
      <c r="U47" s="115" t="s">
        <v>375</v>
      </c>
      <c r="V47" s="209"/>
      <c r="W47" s="212">
        <v>0.5</v>
      </c>
      <c r="X47" s="209"/>
      <c r="Y47" s="213">
        <f>SUM(Total_Expenses_Aug+Formal_Aug_SubTotal+Informal_Aug_SubTotal+Friends_family_Aug_SubTotal+Goals_Aug_SubTotal+SavingsInvestments_Aug_SubTotal)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Savings_Investments_MonthlySavings_Aug_1</f>
        <v>0</v>
      </c>
      <c r="O48" s="146" t="e">
        <f>(Savings_Investments_MinSavings_1+Savings_Investments_MonthlySavings_Aug_1)</f>
        <v>#VALUE!</v>
      </c>
      <c r="P48" s="133"/>
      <c r="Q48" s="133"/>
      <c r="R48" s="1"/>
      <c r="T48" s="115"/>
      <c r="U48" s="209"/>
      <c r="V48" s="209"/>
      <c r="W48" s="209"/>
      <c r="X48" s="209"/>
      <c r="Y48" s="214">
        <f>(Total_Income_Actual_Aug-TOTAL_DEDUCTIONS_Aug)</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Savings_Investments_MonthlySavings_Aug_2</f>
        <v>0</v>
      </c>
      <c r="O49" s="146" t="e">
        <f>(Savings_Investments_MinSavings_2+Savings_Investments_MonthlySavings_Aug_2)</f>
        <v>#VALUE!</v>
      </c>
      <c r="P49" s="133"/>
      <c r="Q49" s="133"/>
      <c r="R49" s="1"/>
      <c r="T49" s="115"/>
      <c r="U49" s="209"/>
      <c r="V49" s="209"/>
      <c r="W49" s="209"/>
      <c r="X49" s="209"/>
      <c r="Y49" s="212" t="e">
        <f>(TOTAL_DEDUCTIONS_Aug/Total_Income_Actual_Aug)</f>
        <v>#DIV/0!</v>
      </c>
      <c r="Z49" s="115"/>
    </row>
    <row r="50" spans="1:26" ht="16.5" thickBot="1" x14ac:dyDescent="0.35">
      <c r="A50" s="1"/>
      <c r="B50" s="149" t="s">
        <v>28</v>
      </c>
      <c r="C50" s="150">
        <f>IFERROR(SUM(Budgeted_Income_Aug),"")</f>
        <v>0</v>
      </c>
      <c r="D50" s="151">
        <f>IFERROR(SUM(Actual_Income_Aug),"")</f>
        <v>0</v>
      </c>
      <c r="E50" s="150">
        <f>IFERROR(SUM(Over_under_income_Aug),"")</f>
        <v>0</v>
      </c>
      <c r="F50" s="141"/>
      <c r="G50" s="142" t="s">
        <v>17</v>
      </c>
      <c r="H50" s="143">
        <v>0</v>
      </c>
      <c r="I50" s="143">
        <v>0</v>
      </c>
      <c r="J50" s="144">
        <f t="shared" si="0"/>
        <v>0</v>
      </c>
      <c r="K50" s="141"/>
      <c r="L50" s="148">
        <f>Savings_Investments_3</f>
        <v>0</v>
      </c>
      <c r="M50" s="146" t="e">
        <f>-Savings_Investments_MinSavings_3</f>
        <v>#VALUE!</v>
      </c>
      <c r="N50" s="110">
        <f>Savings_Investments_MonthlySavings_Aug_3</f>
        <v>0</v>
      </c>
      <c r="O50" s="146" t="e">
        <f>(Savings_Investments_MinSavings_3+Savings_Investments_MonthlySavings_Aug_3)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Savings_Investments_MonthlySavings_Aug_4</f>
        <v>0</v>
      </c>
      <c r="O51" s="146" t="e">
        <f>(Savings_Investments_MinSavings_4+Savings_Investments_MonthlySavings_Aug_4)</f>
        <v>#VALUE!</v>
      </c>
      <c r="P51" s="133"/>
      <c r="Q51" s="133"/>
      <c r="R51" s="1"/>
      <c r="T51" s="115"/>
      <c r="U51" s="218" t="str">
        <f>monthlyExpense_Aug9_Name</f>
        <v>Rental</v>
      </c>
      <c r="V51" s="219">
        <f>IFERROR(Expense9_BudgetAug,"")</f>
        <v>0</v>
      </c>
      <c r="W51" s="219">
        <f>IFERROR(Expense9_ActualAug,"")</f>
        <v>0</v>
      </c>
      <c r="X51" s="220">
        <f>MAX(Expense9_ActualAug-Expense9_BudgetAug,0)</f>
        <v>0</v>
      </c>
      <c r="Y51" s="214">
        <f>MAX(Expense9_BudgetAug-Expense9_ActualAug,0)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monthlyExpense_Aug4_Name</f>
        <v xml:space="preserve">Entertainment </v>
      </c>
      <c r="V52" s="219">
        <f>IFERROR(Expense4_BudgetAug,"")</f>
        <v>0</v>
      </c>
      <c r="W52" s="219">
        <f>IFERROR(Expense4_ActualAug,"")</f>
        <v>0</v>
      </c>
      <c r="X52" s="220">
        <f>MAX(Expense4_ActualAug-Expense4_BudgetAug,0)</f>
        <v>0</v>
      </c>
      <c r="Y52" s="214">
        <f>MAX(Expense4_BudgetAug-Expense4_ActualAug,0)</f>
        <v>0</v>
      </c>
      <c r="Z52" s="115"/>
    </row>
    <row r="53" spans="1:26" ht="16.5" thickBot="1" x14ac:dyDescent="0.35">
      <c r="A53" s="1"/>
      <c r="B53" s="152"/>
      <c r="C53" s="152"/>
      <c r="D53" s="152"/>
      <c r="E53" s="152"/>
      <c r="F53" s="152"/>
      <c r="G53" s="154" t="s">
        <v>28</v>
      </c>
      <c r="H53" s="155">
        <f>SUM(Budgeted_Expenses_Aug)</f>
        <v>0</v>
      </c>
      <c r="I53" s="156">
        <f>SUM(Actual_Expenses_Aug)</f>
        <v>0</v>
      </c>
      <c r="J53" s="150">
        <f>SUM(Over_under_expenses_Aug)</f>
        <v>0</v>
      </c>
      <c r="K53" s="152"/>
      <c r="L53" s="152"/>
      <c r="M53" s="152"/>
      <c r="N53" s="152"/>
      <c r="O53" s="152"/>
      <c r="P53" s="133"/>
      <c r="Q53" s="133"/>
      <c r="R53" s="1"/>
      <c r="T53" s="115"/>
      <c r="U53" s="218" t="str">
        <f>monthlyExpense_Aug5_Name</f>
        <v>Black Tax</v>
      </c>
      <c r="V53" s="219">
        <f>IFERROR(Expense5_BudgetAug,"")</f>
        <v>0</v>
      </c>
      <c r="W53" s="219">
        <f>IFERROR(Expense5_ActualAug,"")</f>
        <v>0</v>
      </c>
      <c r="X53" s="220">
        <f>MAX(Expense5_ActualAug-Expense5_BudgetAug,0)</f>
        <v>0</v>
      </c>
      <c r="Y53" s="214">
        <f>MAX(Expense5_BudgetAug-Expense5_ActualAug,0)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monthlyExpense_Aug1_Name</f>
        <v>Airtime/Data</v>
      </c>
      <c r="V54" s="219">
        <f>IFERROR(Expense1_BudgetAug,"")</f>
        <v>0</v>
      </c>
      <c r="W54" s="219">
        <f>IFERROR(Expense1_ActualAug,"")</f>
        <v>0</v>
      </c>
      <c r="X54" s="220">
        <f>MAX(Expense1_ActualAug-Expense1_BudgetAug,0)</f>
        <v>0</v>
      </c>
      <c r="Y54" s="214">
        <f>MAX(Expense1_BudgetAug-Expense1_ActualAug,0)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monthlyExpense_Aug2_Name</f>
        <v>Bank charges</v>
      </c>
      <c r="V55" s="219">
        <f>IFERROR(Expense2_BudgetAug,"")</f>
        <v>0</v>
      </c>
      <c r="W55" s="219">
        <f>IFERROR(Expense2_ActualAug,"")</f>
        <v>0</v>
      </c>
      <c r="X55" s="220">
        <f>MAX(Expense2_ActualAug-Expense2_BudgetAug,0)</f>
        <v>0</v>
      </c>
      <c r="Y55" s="214">
        <f>MAX(Expense2_BudgetAug-Expense2_ActualAug,0)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monthlyExpense_Aug3_Name</f>
        <v>Clothes</v>
      </c>
      <c r="V56" s="219">
        <f>IFERROR(Expense3_BudgetAug,"")</f>
        <v>0</v>
      </c>
      <c r="W56" s="219">
        <f>IFERROR(Expense3_ActualAug,"")</f>
        <v>0</v>
      </c>
      <c r="X56" s="220">
        <f>MAX(Expense3_ActualAug-Expense3_BudgetAug,0)</f>
        <v>0</v>
      </c>
      <c r="Y56" s="214">
        <f>MAX(Expense3_BudgetAug-Expense3_ActualAug,0)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monthlyExpense_Aug6_Name</f>
        <v>Groceries</v>
      </c>
      <c r="V57" s="219">
        <f>IFERROR(Expense6_BudgetAug,"")</f>
        <v>0</v>
      </c>
      <c r="W57" s="219">
        <f>IFERROR(Expense6_ActualAug,"")</f>
        <v>0</v>
      </c>
      <c r="X57" s="220">
        <f>MAX(Expense6_ActualAug-Expense6_BudgetAug,0)</f>
        <v>0</v>
      </c>
      <c r="Y57" s="214">
        <f>MAX(Expense6_BudgetAug-Expense6_ActualAug,0)</f>
        <v>0</v>
      </c>
      <c r="Z57" s="115"/>
    </row>
    <row r="58" spans="1:26" x14ac:dyDescent="0.3">
      <c r="T58" s="115"/>
      <c r="U58" s="218" t="str">
        <f>monthlyExpense_Aug7_Name</f>
        <v>Hair</v>
      </c>
      <c r="V58" s="219">
        <f>IFERROR(Expense7_BudgetAug,"")</f>
        <v>0</v>
      </c>
      <c r="W58" s="219">
        <f>IFERROR(Expense7_ActualAug,"")</f>
        <v>0</v>
      </c>
      <c r="X58" s="220">
        <f>MAX(Expense7_ActualAug-Expense7_BudgetAug,0)</f>
        <v>0</v>
      </c>
      <c r="Y58" s="214">
        <f>MAX(Expense7_BudgetAug-Expense7_ActualAug,0)</f>
        <v>0</v>
      </c>
      <c r="Z58" s="115"/>
    </row>
    <row r="59" spans="1:26" x14ac:dyDescent="0.3">
      <c r="T59" s="115"/>
      <c r="U59" s="218" t="str">
        <f>monthlyExpense_Aug8_Name</f>
        <v>Transport</v>
      </c>
      <c r="V59" s="219">
        <f>IFERROR(Expense8_BudgetAug,"")</f>
        <v>0</v>
      </c>
      <c r="W59" s="219">
        <f>IFERROR(Expense8_ActualAug,"")</f>
        <v>0</v>
      </c>
      <c r="X59" s="220">
        <f>MAX(Expense8_ActualAug-Expense8_BudgetAug,0)</f>
        <v>0</v>
      </c>
      <c r="Y59" s="214">
        <f>MAX(Expense8_BudgetAug-Expense8_ActualAug,0)</f>
        <v>0</v>
      </c>
      <c r="Z59" s="115"/>
    </row>
    <row r="60" spans="1:26" x14ac:dyDescent="0.3">
      <c r="T60" s="115"/>
      <c r="U60" s="218" t="str">
        <f>monthlyExpense_Aug10_Name</f>
        <v xml:space="preserve">Stationery </v>
      </c>
      <c r="V60" s="219">
        <f>IFERROR(Expense10_BudgetAug,"")</f>
        <v>0</v>
      </c>
      <c r="W60" s="219">
        <f>IFERROR(Expense10_ActualAug,"")</f>
        <v>0</v>
      </c>
      <c r="X60" s="220">
        <f>MAX(Expense10_ActualAug-Expense10_BudgetAug,0)</f>
        <v>0</v>
      </c>
      <c r="Y60" s="214">
        <f>MAX(Expense10_BudgetAug-Expense10_ActualAug,0)</f>
        <v>0</v>
      </c>
      <c r="Z60" s="115"/>
    </row>
    <row r="61" spans="1:26" x14ac:dyDescent="0.3">
      <c r="T61" s="115"/>
      <c r="U61" s="218" t="str">
        <f>monthlyExpense_Aug11_Name</f>
        <v xml:space="preserve">Other </v>
      </c>
      <c r="V61" s="219">
        <f>IFERROR(Expense11_BudgetAug,"")</f>
        <v>0</v>
      </c>
      <c r="W61" s="219">
        <f>IFERROR(Expense11_ActualAug,"")</f>
        <v>0</v>
      </c>
      <c r="X61" s="220">
        <f>MAX(Expense10_ActualAug-Expense10_BudgetAug,0)</f>
        <v>0</v>
      </c>
      <c r="Y61" s="214">
        <f>MAX(Expense11_BudgetAug-Expense11_ActualAug,0)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Z70"/>
  <sheetViews>
    <sheetView topLeftCell="A22"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SUM(Formal_Sep_SubTotal+Informal_Sep_SubTotal+Friends_family_Sep_SubTotal)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Formal_Sep_SubTotal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Total_Income_Actual_Sep</f>
        <v>0</v>
      </c>
      <c r="C30" s="5"/>
      <c r="D30" s="5"/>
      <c r="E30" s="5"/>
      <c r="F30" s="5"/>
      <c r="G30" s="5"/>
      <c r="H30" s="5"/>
      <c r="I30" s="5"/>
      <c r="J30" s="5"/>
      <c r="K30" s="5"/>
      <c r="L30" s="126" t="str">
        <f>L42</f>
        <v>Goals</v>
      </c>
      <c r="M30" s="5"/>
      <c r="N30" s="126">
        <f>N42</f>
        <v>0</v>
      </c>
      <c r="O30" s="5"/>
      <c r="P30" s="121">
        <f>Informal_Sep_SubTotal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Total_Expenses_Sep</f>
        <v>0</v>
      </c>
      <c r="H32" s="5"/>
      <c r="I32" s="5"/>
      <c r="J32" s="5"/>
      <c r="K32" s="5"/>
      <c r="L32" s="123" t="str">
        <f>L47</f>
        <v>Savings and Investments</v>
      </c>
      <c r="M32" s="125"/>
      <c r="N32" s="124">
        <f>N47</f>
        <v>0</v>
      </c>
      <c r="O32" s="5"/>
      <c r="P32" s="132">
        <f>Friends_family_Sep_SubTotal</f>
        <v>0</v>
      </c>
      <c r="Q32" s="5"/>
      <c r="R32" s="1"/>
    </row>
    <row r="33" spans="1:26" ht="15.75" x14ac:dyDescent="0.3">
      <c r="A33" s="1"/>
      <c r="B33" s="119">
        <f>(Total_Income_Actual_Sep-Total_Expenses_Sep)</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1751</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IFERROR(SUM(Goals_SepSavings),"")</f>
        <v>0</v>
      </c>
      <c r="O42" s="113" t="str">
        <f>IFERROR(SUM(Over_under_Goals_Sep),"")</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Savings_Goal_MonthlySavings_Sep_1</f>
        <v>0</v>
      </c>
      <c r="O43" s="146" t="e">
        <f>(Savings_Goal_MonthlySavings_Sep_1+Savings_Goal_MinSavings_1)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Savings_Goal_MonthlySavings_Sep_2</f>
        <v>0</v>
      </c>
      <c r="O44" s="146" t="e">
        <f>(Savings_Goal_MonthlySavings_Sep_2+Savings_Goal_MinSavings_2)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Savings_Goal_MonthlySavings_3Sep_</f>
        <v>0</v>
      </c>
      <c r="O45" s="146" t="e">
        <f>(Savings_Goal_MonthlySavings_3Sep_+Savings_Goal_MinSavings_3)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Savings_Goal_MonthlySavings_Sep_4</f>
        <v>0</v>
      </c>
      <c r="O46" s="146" t="e">
        <f>(Savings_Goal_MonthlySavings_Sep_4+Savings_Goal_MinSavings_4)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IFERROR(SUM(SavingsInvestments_SepSavings),"")</f>
        <v>0</v>
      </c>
      <c r="O47" s="114" t="str">
        <f>IFERROR(SUM(Over_Under_Savings_Sep),"")</f>
        <v/>
      </c>
      <c r="P47" s="133"/>
      <c r="Q47" s="133"/>
      <c r="R47" s="1"/>
      <c r="T47" s="115"/>
      <c r="U47" s="115" t="s">
        <v>375</v>
      </c>
      <c r="V47" s="209"/>
      <c r="W47" s="212">
        <v>0.5</v>
      </c>
      <c r="X47" s="209"/>
      <c r="Y47" s="213">
        <f>SUM(Total_Expenses_Sep+Formal_Sep_SubTotal+Informal_Sep_SubTotal+Friends_family_Sep_SubTotal+Goals_Sep_SubTotal+SavingsInvestments_Sep_SubTotal)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Savings_Investments_MonthlySavings_Sep_1</f>
        <v>0</v>
      </c>
      <c r="O48" s="146" t="e">
        <f>(Savings_Investments_MinSavings_1+Savings_Investments_MonthlySavings_Sep_1)</f>
        <v>#VALUE!</v>
      </c>
      <c r="P48" s="133"/>
      <c r="Q48" s="133"/>
      <c r="R48" s="1"/>
      <c r="T48" s="115"/>
      <c r="U48" s="209"/>
      <c r="V48" s="209"/>
      <c r="W48" s="209"/>
      <c r="X48" s="209"/>
      <c r="Y48" s="214">
        <f>(Total_Income_Actual_Sep-TOTAL_DEDUCTIONS_Sep)</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Savings_Investments_MonthlySavings_Sep_2</f>
        <v>0</v>
      </c>
      <c r="O49" s="146" t="e">
        <f>(Savings_Investments_MinSavings_2+Savings_Investments_MonthlySavings_Sep_2)</f>
        <v>#VALUE!</v>
      </c>
      <c r="P49" s="133"/>
      <c r="Q49" s="133"/>
      <c r="R49" s="1"/>
      <c r="T49" s="115"/>
      <c r="U49" s="209"/>
      <c r="V49" s="209"/>
      <c r="W49" s="209"/>
      <c r="X49" s="209"/>
      <c r="Y49" s="212" t="e">
        <f>(TOTAL_DEDUCTIONS_Sep/Total_Income_Actual_Sep)</f>
        <v>#DIV/0!</v>
      </c>
      <c r="Z49" s="115"/>
    </row>
    <row r="50" spans="1:26" ht="16.5" thickBot="1" x14ac:dyDescent="0.35">
      <c r="A50" s="1"/>
      <c r="B50" s="149" t="s">
        <v>28</v>
      </c>
      <c r="C50" s="150">
        <f>IFERROR(SUM(Budgeted_Income_Sep),"")</f>
        <v>0</v>
      </c>
      <c r="D50" s="151">
        <f>IFERROR(SUM(Actual_Income_Sep),"")</f>
        <v>0</v>
      </c>
      <c r="E50" s="150">
        <f>IFERROR(SUM(Over_under_income_Sep),"")</f>
        <v>0</v>
      </c>
      <c r="F50" s="141"/>
      <c r="G50" s="142" t="s">
        <v>17</v>
      </c>
      <c r="H50" s="143">
        <v>0</v>
      </c>
      <c r="I50" s="143">
        <v>0</v>
      </c>
      <c r="J50" s="144">
        <f t="shared" si="0"/>
        <v>0</v>
      </c>
      <c r="K50" s="141"/>
      <c r="L50" s="148">
        <f>Savings_Investments_3</f>
        <v>0</v>
      </c>
      <c r="M50" s="146" t="e">
        <f>-Savings_Investments_MinSavings_3</f>
        <v>#VALUE!</v>
      </c>
      <c r="N50" s="110">
        <f>Savings_Investments_MonthlySavings_Sep_3</f>
        <v>0</v>
      </c>
      <c r="O50" s="146" t="e">
        <f>(Savings_Investments_MinSavings_3+Savings_Investments_MonthlySavings_Sep_3)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Savings_Investments_MonthlySavings_Sep_4</f>
        <v>0</v>
      </c>
      <c r="O51" s="146" t="e">
        <f>(Savings_Investments_MinSavings_4+Savings_Investments_MonthlySavings_Sep_4)</f>
        <v>#VALUE!</v>
      </c>
      <c r="P51" s="133"/>
      <c r="Q51" s="133"/>
      <c r="R51" s="1"/>
      <c r="T51" s="115"/>
      <c r="U51" s="218" t="str">
        <f>monthlyExpense_Sep9_Name</f>
        <v>Rental</v>
      </c>
      <c r="V51" s="219">
        <f>IFERROR(Expense9_BudgetSep,"")</f>
        <v>0</v>
      </c>
      <c r="W51" s="219">
        <f>IFERROR(Expense9_ActualSep,"")</f>
        <v>0</v>
      </c>
      <c r="X51" s="220">
        <f>MAX(Expense9_ActualSep-Expense9_BudgetSep,0)</f>
        <v>0</v>
      </c>
      <c r="Y51" s="214">
        <f>MAX(Expense9_BudgetSep-Expense9_ActualSep,0)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monthlyExpense_Sep4_Name</f>
        <v xml:space="preserve">Entertainment </v>
      </c>
      <c r="V52" s="219">
        <f>IFERROR(Expense4_BudgetSep,"")</f>
        <v>0</v>
      </c>
      <c r="W52" s="219">
        <f>IFERROR(Expense4_ActualSep,"")</f>
        <v>0</v>
      </c>
      <c r="X52" s="220">
        <f>MAX(Expense4_ActualSep-Expense4_BudgetSep,0)</f>
        <v>0</v>
      </c>
      <c r="Y52" s="214">
        <f>MAX(Expense4_BudgetSep-Expense4_ActualSep,0)</f>
        <v>0</v>
      </c>
      <c r="Z52" s="115"/>
    </row>
    <row r="53" spans="1:26" ht="16.5" thickBot="1" x14ac:dyDescent="0.35">
      <c r="A53" s="1"/>
      <c r="B53" s="152"/>
      <c r="C53" s="152"/>
      <c r="D53" s="152"/>
      <c r="E53" s="152"/>
      <c r="F53" s="152"/>
      <c r="G53" s="154" t="s">
        <v>28</v>
      </c>
      <c r="H53" s="155">
        <f>SUM(Budgeted_Expenses_Sep)</f>
        <v>0</v>
      </c>
      <c r="I53" s="156">
        <f>SUM(Actual_Expenses_Sep)</f>
        <v>0</v>
      </c>
      <c r="J53" s="150">
        <f>SUM(Over_under_expenses_Sep)</f>
        <v>0</v>
      </c>
      <c r="K53" s="152"/>
      <c r="L53" s="152"/>
      <c r="M53" s="152"/>
      <c r="N53" s="152"/>
      <c r="O53" s="152"/>
      <c r="P53" s="133"/>
      <c r="Q53" s="133"/>
      <c r="R53" s="1"/>
      <c r="T53" s="115"/>
      <c r="U53" s="218" t="str">
        <f>monthlyExpense_Sep5_Name</f>
        <v>Black Tax</v>
      </c>
      <c r="V53" s="219">
        <f>IFERROR(Expense5_BudgetSep,"")</f>
        <v>0</v>
      </c>
      <c r="W53" s="219">
        <f>IFERROR(Expense5_ActualSep,"")</f>
        <v>0</v>
      </c>
      <c r="X53" s="220">
        <f>MAX(Expense5_ActualSep-Expense5_BudgetSep,0)</f>
        <v>0</v>
      </c>
      <c r="Y53" s="214">
        <f>MAX(Expense5_BudgetSep-Expense5_ActualSep,0)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monthlyExpense_Sep1_Name</f>
        <v>Airtime/Data</v>
      </c>
      <c r="V54" s="219">
        <f>IFERROR(Expense1_BudgetSep,"")</f>
        <v>0</v>
      </c>
      <c r="W54" s="219">
        <f>IFERROR(Expense1_ActualSep,"")</f>
        <v>0</v>
      </c>
      <c r="X54" s="220">
        <f>MAX(Expense1_ActualSep-Expense1_BudgetSep,0)</f>
        <v>0</v>
      </c>
      <c r="Y54" s="214">
        <f>MAX(Expense1_BudgetSep-Expense1_ActualSep,0)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monthlyExpense_Sep2_Name</f>
        <v>Bank charges</v>
      </c>
      <c r="V55" s="219">
        <f>IFERROR(Expense2_BudgetSep,"")</f>
        <v>0</v>
      </c>
      <c r="W55" s="219">
        <f>IFERROR(Expense2_ActualSep,"")</f>
        <v>0</v>
      </c>
      <c r="X55" s="220">
        <f>MAX(Expense2_ActualSep-Expense2_BudgetSep,0)</f>
        <v>0</v>
      </c>
      <c r="Y55" s="214">
        <f>MAX(Expense2_BudgetSep-Expense2_ActualSep,0)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monthlyExpense_Sep3_Name</f>
        <v>Clothes</v>
      </c>
      <c r="V56" s="219">
        <f>IFERROR(Expense3_BudgetSep,"")</f>
        <v>0</v>
      </c>
      <c r="W56" s="219">
        <f>IFERROR(Expense3_ActualSep,"")</f>
        <v>0</v>
      </c>
      <c r="X56" s="220">
        <f>MAX(Expense3_ActualSep-Expense3_BudgetSep,0)</f>
        <v>0</v>
      </c>
      <c r="Y56" s="214">
        <f>MAX(Expense3_BudgetSep-Expense3_ActualSep,0)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monthlyExpense_Sep6_Name</f>
        <v>Groceries</v>
      </c>
      <c r="V57" s="219">
        <f>IFERROR(Expense6_BudgetSep,"")</f>
        <v>0</v>
      </c>
      <c r="W57" s="219">
        <f>IFERROR(Expense6_ActualSep,"")</f>
        <v>0</v>
      </c>
      <c r="X57" s="220">
        <f>MAX(Expense6_ActualSep-Expense6_BudgetSep,0)</f>
        <v>0</v>
      </c>
      <c r="Y57" s="214">
        <f>MAX(Expense6_BudgetSep-Expense6_ActualSep,0)</f>
        <v>0</v>
      </c>
      <c r="Z57" s="115"/>
    </row>
    <row r="58" spans="1:26" x14ac:dyDescent="0.3">
      <c r="T58" s="115"/>
      <c r="U58" s="218" t="str">
        <f>monthlyExpense_Sep7_Name</f>
        <v>Hair</v>
      </c>
      <c r="V58" s="219">
        <f>IFERROR(Expense7_BudgetSep,"")</f>
        <v>0</v>
      </c>
      <c r="W58" s="219">
        <f>IFERROR(Expense7_ActualSep,"")</f>
        <v>0</v>
      </c>
      <c r="X58" s="220">
        <f>MAX(Expense7_ActualSep-Expense7_BudgetSep,0)</f>
        <v>0</v>
      </c>
      <c r="Y58" s="214">
        <f>MAX(Expense7_BudgetSep-Expense7_ActualSep,0)</f>
        <v>0</v>
      </c>
      <c r="Z58" s="115"/>
    </row>
    <row r="59" spans="1:26" x14ac:dyDescent="0.3">
      <c r="T59" s="115"/>
      <c r="U59" s="218" t="str">
        <f>monthlyExpense_Sep8_Name</f>
        <v>Transport</v>
      </c>
      <c r="V59" s="219">
        <f>IFERROR(Expense8_BudgetSep,"")</f>
        <v>0</v>
      </c>
      <c r="W59" s="219">
        <f>IFERROR(Expense8_ActualSep,"")</f>
        <v>0</v>
      </c>
      <c r="X59" s="220">
        <f>MAX(Expense8_ActualSep-Expense8_BudgetSep,0)</f>
        <v>0</v>
      </c>
      <c r="Y59" s="214">
        <f>MAX(Expense8_BudgetSep-Expense8_ActualSep,0)</f>
        <v>0</v>
      </c>
      <c r="Z59" s="115"/>
    </row>
    <row r="60" spans="1:26" x14ac:dyDescent="0.3">
      <c r="T60" s="115"/>
      <c r="U60" s="218" t="str">
        <f>monthlyExpense_Sep10_Name</f>
        <v xml:space="preserve">Stationery </v>
      </c>
      <c r="V60" s="219">
        <f>IFERROR(Expense10_BudgetSep,"")</f>
        <v>0</v>
      </c>
      <c r="W60" s="219">
        <f>IFERROR(Expense10_ActualSep,"")</f>
        <v>0</v>
      </c>
      <c r="X60" s="220">
        <f>MAX(Expense10_ActualSep-Expense10_BudgetSep,0)</f>
        <v>0</v>
      </c>
      <c r="Y60" s="214">
        <f>MAX(Expense10_BudgetSep-Expense10_ActualSep,0)</f>
        <v>0</v>
      </c>
      <c r="Z60" s="115"/>
    </row>
    <row r="61" spans="1:26" x14ac:dyDescent="0.3">
      <c r="T61" s="115"/>
      <c r="U61" s="218" t="str">
        <f>monthlyExpense_Sep11_Name</f>
        <v xml:space="preserve">Other </v>
      </c>
      <c r="V61" s="219">
        <f>IFERROR(Expense11_BudgetSep,"")</f>
        <v>0</v>
      </c>
      <c r="W61" s="219">
        <f>IFERROR(Expense11_ActualSep,"")</f>
        <v>0</v>
      </c>
      <c r="X61" s="220">
        <f>MAX(Expense10_ActualSep-Expense10_BudgetSep,0)</f>
        <v>0</v>
      </c>
      <c r="Y61" s="214">
        <f>MAX(Expense11_BudgetSep-Expense11_ActualSep,0)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Sep_SubTotal+Informal_Sep_SubTotal+Friends_family_Sep_SubTotal)+(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sheetPr>
  <dimension ref="A1:Z70"/>
  <sheetViews>
    <sheetView topLeftCell="A18"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SUM(Formal_Oct_SubTotal+Informal_Oct_SubTotal+Friends_family_Oct_SubTotal)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Formal_Oct_SubTotal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Total_Income_Actual_Oct</f>
        <v>0</v>
      </c>
      <c r="C30" s="5"/>
      <c r="D30" s="5"/>
      <c r="E30" s="5"/>
      <c r="F30" s="5"/>
      <c r="G30" s="5"/>
      <c r="H30" s="5"/>
      <c r="I30" s="5"/>
      <c r="J30" s="5"/>
      <c r="K30" s="5"/>
      <c r="L30" s="126" t="str">
        <f>L42</f>
        <v>Goals</v>
      </c>
      <c r="M30" s="5"/>
      <c r="N30" s="126">
        <f>N42</f>
        <v>0</v>
      </c>
      <c r="O30" s="5"/>
      <c r="P30" s="121">
        <f>Informal_Oct_SubTotal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Total_Expenses_Oct</f>
        <v>0</v>
      </c>
      <c r="H32" s="5"/>
      <c r="I32" s="5"/>
      <c r="J32" s="5"/>
      <c r="K32" s="5"/>
      <c r="L32" s="123" t="str">
        <f>L47</f>
        <v>Savings and Investments</v>
      </c>
      <c r="M32" s="125"/>
      <c r="N32" s="124">
        <f>N47</f>
        <v>0</v>
      </c>
      <c r="O32" s="5"/>
      <c r="P32" s="132">
        <f>Friends_family_Oct_SubTotal</f>
        <v>0</v>
      </c>
      <c r="Q32" s="5"/>
      <c r="R32" s="1"/>
    </row>
    <row r="33" spans="1:26" ht="15.75" x14ac:dyDescent="0.3">
      <c r="A33" s="1"/>
      <c r="B33" s="119">
        <f>(Total_Income_Actual_Oct-Total_Expenses_Oct)</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1752</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IFERROR(SUM(Goals_OctSavings),"")</f>
        <v>0</v>
      </c>
      <c r="O42" s="113" t="str">
        <f>IFERROR(SUM(Over_under_Goals_Oct),"")</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Savings_Goal_MonthlySavings_Oct_1</f>
        <v>0</v>
      </c>
      <c r="O43" s="146" t="e">
        <f>(Savings_Goal_MonthlySavings_Oct_1+Savings_Goal_MinSavings_1)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Savings_Goal_MonthlySavings_Oct_2</f>
        <v>0</v>
      </c>
      <c r="O44" s="146" t="e">
        <f>(Savings_Goal_MonthlySavings_Oct_2+Savings_Goal_MinSavings_2)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Savings_Goal_MonthlySavings_Oct_3</f>
        <v>0</v>
      </c>
      <c r="O45" s="146" t="e">
        <f>(Savings_Goal_MonthlySavings_Oct_3+Savings_Goal_MinSavings_3)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Savings_Goal_MonthlySavings_Oct_4</f>
        <v>0</v>
      </c>
      <c r="O46" s="146" t="e">
        <f>(Savings_Goal_MonthlySavings_Oct_4+Savings_Goal_MinSavings_4)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IFERROR(SUM(SavingsInvestments_OctSavings),"")</f>
        <v>0</v>
      </c>
      <c r="O47" s="114" t="str">
        <f>IFERROR(SUM(Over_Under_Savings_Oct),"")</f>
        <v/>
      </c>
      <c r="P47" s="133"/>
      <c r="Q47" s="133"/>
      <c r="R47" s="1"/>
      <c r="T47" s="115"/>
      <c r="U47" s="115" t="s">
        <v>375</v>
      </c>
      <c r="V47" s="209"/>
      <c r="W47" s="212">
        <v>0.5</v>
      </c>
      <c r="X47" s="209"/>
      <c r="Y47" s="213">
        <f>SUM(Total_Expenses_Oct+Formal_Oct_SubTotal+Informal_Oct_SubTotal+Friends_family_Oct_SubTotal+Goals_Oct_SubTotal+SavingsInvestments_Oct_SubTotal)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Savings_Investments_MonthlySavings_Oct_1</f>
        <v>0</v>
      </c>
      <c r="O48" s="146" t="e">
        <f>(Savings_Investments_MinSavings_1+Savings_Investments_MonthlySavings_Oct_1)</f>
        <v>#VALUE!</v>
      </c>
      <c r="P48" s="133"/>
      <c r="Q48" s="133"/>
      <c r="R48" s="1"/>
      <c r="T48" s="115"/>
      <c r="U48" s="209"/>
      <c r="V48" s="209"/>
      <c r="W48" s="209"/>
      <c r="X48" s="209"/>
      <c r="Y48" s="214">
        <f>(Total_Income_Actual_Oct-TOTAL_DEDUCTIONS_Oct)</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Savings_Investments_MonthlySavings_Oct_2</f>
        <v>0</v>
      </c>
      <c r="O49" s="146" t="e">
        <f>(Savings_Investments_MinSavings_2+Savings_Investments_MonthlySavings_Oct_2)</f>
        <v>#VALUE!</v>
      </c>
      <c r="P49" s="133"/>
      <c r="Q49" s="133"/>
      <c r="R49" s="1"/>
      <c r="T49" s="115"/>
      <c r="U49" s="209"/>
      <c r="V49" s="209"/>
      <c r="W49" s="209"/>
      <c r="X49" s="209"/>
      <c r="Y49" s="212" t="e">
        <f>(TOTAL_DEDUCTIONS_Oct/Total_Income_Actual_Oct)</f>
        <v>#DIV/0!</v>
      </c>
      <c r="Z49" s="115"/>
    </row>
    <row r="50" spans="1:26" ht="16.5" thickBot="1" x14ac:dyDescent="0.35">
      <c r="A50" s="1"/>
      <c r="B50" s="149" t="s">
        <v>28</v>
      </c>
      <c r="C50" s="150">
        <f>IFERROR(SUM(Budgeted_Income_Oct),"")</f>
        <v>0</v>
      </c>
      <c r="D50" s="151">
        <f>IFERROR(SUM(Actual_Income_Oct),"")</f>
        <v>0</v>
      </c>
      <c r="E50" s="150">
        <f>IFERROR(SUM(Over_under_income_Oct),"")</f>
        <v>0</v>
      </c>
      <c r="F50" s="141"/>
      <c r="G50" s="142" t="s">
        <v>17</v>
      </c>
      <c r="H50" s="143">
        <v>0</v>
      </c>
      <c r="I50" s="143">
        <v>0</v>
      </c>
      <c r="J50" s="144">
        <f t="shared" si="0"/>
        <v>0</v>
      </c>
      <c r="K50" s="141"/>
      <c r="L50" s="148">
        <f>Savings_Investments_3</f>
        <v>0</v>
      </c>
      <c r="M50" s="146" t="e">
        <f>-Savings_Investments_MinSavings_3</f>
        <v>#VALUE!</v>
      </c>
      <c r="N50" s="110">
        <f>Savings_Investments_MonthlySavings_Oct_3</f>
        <v>0</v>
      </c>
      <c r="O50" s="146" t="e">
        <f>(Savings_Investments_MinSavings_3+Savings_Investments_MonthlySavings_Oct_3)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Savings_Investments_MonthlySavings_Oct_4</f>
        <v>0</v>
      </c>
      <c r="O51" s="146" t="e">
        <f>(Savings_Investments_MinSavings_4+Savings_Investments_MonthlySavings_Oct_4)</f>
        <v>#VALUE!</v>
      </c>
      <c r="P51" s="133"/>
      <c r="Q51" s="133"/>
      <c r="R51" s="1"/>
      <c r="T51" s="115"/>
      <c r="U51" s="218" t="str">
        <f>monthlyExpense_Oct9_Name</f>
        <v>Rental</v>
      </c>
      <c r="V51" s="219">
        <f>IFERROR(Expense9_BudgetOct,"")</f>
        <v>0</v>
      </c>
      <c r="W51" s="219">
        <f>IFERROR(Expense9_ActualOct,"")</f>
        <v>0</v>
      </c>
      <c r="X51" s="220">
        <f>MAX(Expense9_ActualOct-Expense9_BudgetOct,0)</f>
        <v>0</v>
      </c>
      <c r="Y51" s="214">
        <f>MAX(Expense9_BudgetOct-Expense9_ActualOct,0)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monthlyExpense_Oct4_Name</f>
        <v xml:space="preserve">Entertainment </v>
      </c>
      <c r="V52" s="219">
        <f>IFERROR(Expense4_BudgetOct,"")</f>
        <v>0</v>
      </c>
      <c r="W52" s="219">
        <f>IFERROR(Expense4_ActualOct,"")</f>
        <v>0</v>
      </c>
      <c r="X52" s="220">
        <f>MAX(Expense4_ActualOct-Expense4_BudgetOct,0)</f>
        <v>0</v>
      </c>
      <c r="Y52" s="214">
        <f>MAX(Expense4_BudgetOct-Expense4_ActualOct,0)</f>
        <v>0</v>
      </c>
      <c r="Z52" s="115"/>
    </row>
    <row r="53" spans="1:26" ht="16.5" thickBot="1" x14ac:dyDescent="0.35">
      <c r="A53" s="1"/>
      <c r="B53" s="152"/>
      <c r="C53" s="152"/>
      <c r="D53" s="152"/>
      <c r="E53" s="152"/>
      <c r="F53" s="152"/>
      <c r="G53" s="154" t="s">
        <v>28</v>
      </c>
      <c r="H53" s="155">
        <f>SUM(Budgeted_Expenses_Oct)</f>
        <v>0</v>
      </c>
      <c r="I53" s="156">
        <f>SUM(Actual_Expenses_Oct)</f>
        <v>0</v>
      </c>
      <c r="J53" s="150">
        <f>SUM(Over_under_expenses_Oct)</f>
        <v>0</v>
      </c>
      <c r="K53" s="152"/>
      <c r="L53" s="152"/>
      <c r="M53" s="152"/>
      <c r="N53" s="152"/>
      <c r="O53" s="152"/>
      <c r="P53" s="133"/>
      <c r="Q53" s="133"/>
      <c r="R53" s="1"/>
      <c r="T53" s="115"/>
      <c r="U53" s="218" t="str">
        <f>monthlyExpense_Jan5_Name</f>
        <v>Black Tax</v>
      </c>
      <c r="V53" s="219">
        <f>IFERROR(Expense5_BudgetOct,"")</f>
        <v>0</v>
      </c>
      <c r="W53" s="219">
        <f>IFERROR(Expense5_ActualOct,"")</f>
        <v>0</v>
      </c>
      <c r="X53" s="220">
        <f>MAX(Expense5_ActualOct-Expense5_BudgetOct,0)</f>
        <v>0</v>
      </c>
      <c r="Y53" s="214">
        <f>MAX(Expense5_BudgetOct-Expense5_ActualOct,0)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monthlyExpense_Jan1_Name</f>
        <v>Airtime/Data</v>
      </c>
      <c r="V54" s="219">
        <f>IFERROR(Expense1_BudgetOct,"")</f>
        <v>0</v>
      </c>
      <c r="W54" s="219">
        <f>IFERROR(Expense1_ActualOct,"")</f>
        <v>0</v>
      </c>
      <c r="X54" s="220">
        <f>MAX(Expense1_ActualOct-Expense1_BudgetOct,0)</f>
        <v>0</v>
      </c>
      <c r="Y54" s="214">
        <f>MAX(Expense1_BudgetOct-Expense1_ActualOct,0)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monthlyExpense_Jan2_Name</f>
        <v>Bank charges</v>
      </c>
      <c r="V55" s="219">
        <f>IFERROR(Expense2_BudgetOct,"")</f>
        <v>0</v>
      </c>
      <c r="W55" s="219">
        <f>IFERROR(Expense2_ActualOct,"")</f>
        <v>0</v>
      </c>
      <c r="X55" s="220">
        <f>MAX(Expense2_ActualOct-Expense2_BudgetOct,0)</f>
        <v>0</v>
      </c>
      <c r="Y55" s="214">
        <f>MAX(Expense2_BudgetOct-Expense2_ActualOct,0)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monthlyExpense_Jan3_Name</f>
        <v>Clothes</v>
      </c>
      <c r="V56" s="219">
        <f>IFERROR(Expense3_BudgetOct,"")</f>
        <v>0</v>
      </c>
      <c r="W56" s="219">
        <f>IFERROR(Expense3_ActualOct,"")</f>
        <v>0</v>
      </c>
      <c r="X56" s="220">
        <f>MAX(Expense3_ActualOct-Expense3_BudgetOct,0)</f>
        <v>0</v>
      </c>
      <c r="Y56" s="214">
        <f>MAX(Expense3_BudgetOct-Expense3_ActualOct,0)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monthlyExpense_Jan6_Name</f>
        <v>Groceries</v>
      </c>
      <c r="V57" s="219">
        <f>IFERROR(Expense6_BudgetOct,"")</f>
        <v>0</v>
      </c>
      <c r="W57" s="219">
        <f>IFERROR(Expense6_ActualOct,"")</f>
        <v>0</v>
      </c>
      <c r="X57" s="220">
        <f>MAX(Expense6_ActualOct-Expense6_BudgetOct,0)</f>
        <v>0</v>
      </c>
      <c r="Y57" s="214">
        <f>MAX(Expense6_BudgetOct-Expense6_ActualOct,0)</f>
        <v>0</v>
      </c>
      <c r="Z57" s="115"/>
    </row>
    <row r="58" spans="1:26" x14ac:dyDescent="0.3">
      <c r="T58" s="115"/>
      <c r="U58" s="218" t="str">
        <f>monthlyExpense_Jan7_Name</f>
        <v>Hair</v>
      </c>
      <c r="V58" s="219">
        <f>IFERROR(Expense7_BudgetOct,"")</f>
        <v>0</v>
      </c>
      <c r="W58" s="219">
        <f>IFERROR(Expense7_ActualOct,"")</f>
        <v>0</v>
      </c>
      <c r="X58" s="220">
        <f>MAX(Expense7_ActualOct-Expense7_BudgetOct,0)</f>
        <v>0</v>
      </c>
      <c r="Y58" s="214">
        <f>MAX(Expense7_BudgetOct-Expense7_ActualOct,0)</f>
        <v>0</v>
      </c>
      <c r="Z58" s="115"/>
    </row>
    <row r="59" spans="1:26" x14ac:dyDescent="0.3">
      <c r="T59" s="115"/>
      <c r="U59" s="218" t="str">
        <f>monthlyExpense_Jan8_Name</f>
        <v>Transport</v>
      </c>
      <c r="V59" s="219">
        <f>IFERROR(Expense8_BudgetOct,"")</f>
        <v>0</v>
      </c>
      <c r="W59" s="219">
        <f>IFERROR(Expense8_ActualOct,"")</f>
        <v>0</v>
      </c>
      <c r="X59" s="220">
        <f>MAX(Expense8_ActualOct-Expense8_BudgetOct,0)</f>
        <v>0</v>
      </c>
      <c r="Y59" s="214">
        <f>MAX(Expense8_BudgetOct-Expense8_ActualOct,0)</f>
        <v>0</v>
      </c>
      <c r="Z59" s="115"/>
    </row>
    <row r="60" spans="1:26" x14ac:dyDescent="0.3">
      <c r="T60" s="115"/>
      <c r="U60" s="218" t="str">
        <f>monthlyExpense_Jan10_Name</f>
        <v xml:space="preserve">Stationery </v>
      </c>
      <c r="V60" s="219">
        <f>IFERROR(Expense10_BudgetOct,"")</f>
        <v>0</v>
      </c>
      <c r="W60" s="219">
        <f>IFERROR(Expense10_ActualOct,"")</f>
        <v>0</v>
      </c>
      <c r="X60" s="220">
        <f>MAX(Expense10_ActualOct-Expense10_BudgetOct,0)</f>
        <v>0</v>
      </c>
      <c r="Y60" s="214">
        <f>MAX(Expense10_BudgetOct-Expense10_ActualOct,0)</f>
        <v>0</v>
      </c>
      <c r="Z60" s="115"/>
    </row>
    <row r="61" spans="1:26" x14ac:dyDescent="0.3">
      <c r="T61" s="115"/>
      <c r="U61" s="218" t="str">
        <f>monthlyExpense_Jan11_Name</f>
        <v xml:space="preserve">Other </v>
      </c>
      <c r="V61" s="219">
        <f>IFERROR(Expense11_BudgetOct,"")</f>
        <v>0</v>
      </c>
      <c r="W61" s="219">
        <f>IFERROR(Expense11_ActualOct,"")</f>
        <v>0</v>
      </c>
      <c r="X61" s="220">
        <f>MAX(Expense10_ActualOct-Expense10_BudgetOct,0)</f>
        <v>0</v>
      </c>
      <c r="Y61" s="214">
        <f>MAX(Expense11_BudgetOct-Expense11_ActualOct,0)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Oct_SubTotal+Informal_Oct_SubTotal+Friends_family_Oct_SubTotal)+(Formal_Sep_SubTotal+Informal_Sep_SubTotal+Friends_family_Sep_SubTotal)+(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249977111117893"/>
  </sheetPr>
  <dimension ref="A1:Z70"/>
  <sheetViews>
    <sheetView topLeftCell="A21"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SUM(Formal_Nov_SubTotal+Informal_Nov_SubTotal+Friends_family_Nov_SubTotal)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Formal_Nov_SubTotal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Total_Income_Actual_Nov</f>
        <v>0</v>
      </c>
      <c r="C30" s="5"/>
      <c r="D30" s="5"/>
      <c r="E30" s="5"/>
      <c r="F30" s="5"/>
      <c r="G30" s="5"/>
      <c r="H30" s="5"/>
      <c r="I30" s="5"/>
      <c r="J30" s="5"/>
      <c r="K30" s="5"/>
      <c r="L30" s="126" t="str">
        <f>L42</f>
        <v>Goals</v>
      </c>
      <c r="M30" s="5"/>
      <c r="N30" s="126">
        <f>N42</f>
        <v>0</v>
      </c>
      <c r="O30" s="5"/>
      <c r="P30" s="121">
        <f>Informal_Nov_SubTotal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Total_Expenses_Nov</f>
        <v>0</v>
      </c>
      <c r="H32" s="5"/>
      <c r="I32" s="5"/>
      <c r="J32" s="5"/>
      <c r="K32" s="5"/>
      <c r="L32" s="123" t="str">
        <f>L47</f>
        <v>Savings and Investments</v>
      </c>
      <c r="M32" s="125"/>
      <c r="N32" s="124">
        <f>N47</f>
        <v>0</v>
      </c>
      <c r="O32" s="5"/>
      <c r="P32" s="132">
        <f>Friends_family_Nov_SubTotal</f>
        <v>0</v>
      </c>
      <c r="Q32" s="5"/>
      <c r="R32" s="1"/>
    </row>
    <row r="33" spans="1:26" ht="15.75" x14ac:dyDescent="0.3">
      <c r="A33" s="1"/>
      <c r="B33" s="119">
        <f>(Total_Income_Actual_Nov-Total_Expenses_Nov)</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1753</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IFERROR(SUM(Goals_NovSavings),"")</f>
        <v>0</v>
      </c>
      <c r="O42" s="113" t="str">
        <f>IFERROR(SUM(Over_under_Goals_Nov),"")</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Savings_Goal_MonthlySavings_Nov_1</f>
        <v>0</v>
      </c>
      <c r="O43" s="146" t="e">
        <f>(Savings_Goal_MonthlySavings_Nov_1+Savings_Goal_MinSavings_1)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Savings_Goal_MonthlySavings_Nov_2</f>
        <v>0</v>
      </c>
      <c r="O44" s="146" t="e">
        <f>(Savings_Goal_MonthlySavings_Nov_2+Savings_Goal_MinSavings_2)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Savings_Goal_MonthlySavings_Nov_3</f>
        <v>0</v>
      </c>
      <c r="O45" s="146" t="e">
        <f>(Savings_Goal_MonthlySavings_Nov_3+Savings_Goal_MinSavings_3)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Savings_Goal_MonthlySavings_Nov_4</f>
        <v>0</v>
      </c>
      <c r="O46" s="146" t="e">
        <f>(Savings_Goal_MonthlySavings_Nov_4+Savings_Goal_MinSavings_4)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IFERROR(SUM(SavingsInvestments_NovSavings),"")</f>
        <v>0</v>
      </c>
      <c r="O47" s="114" t="str">
        <f>IFERROR(SUM(Over_Under_Savings_Nov),"")</f>
        <v/>
      </c>
      <c r="P47" s="133"/>
      <c r="Q47" s="133"/>
      <c r="R47" s="1"/>
      <c r="T47" s="115"/>
      <c r="U47" s="115" t="s">
        <v>375</v>
      </c>
      <c r="V47" s="209"/>
      <c r="W47" s="212">
        <v>0.5</v>
      </c>
      <c r="X47" s="209"/>
      <c r="Y47" s="213">
        <f>SUM(Total_Expenses_Nov+Formal_Nov_SubTotal+Informal_Nov_SubTotal+Friends_family_Nov_SubTotal+Goals_Nov_SubTotal+SavingsInvestments_Nov_SubTotal)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Savings_Investments_MonthlySavings_Nov_1</f>
        <v>0</v>
      </c>
      <c r="O48" s="146" t="e">
        <f>(Savings_Investments_MinSavings_1+Savings_Investments_MonthlySavings_Nov_1)</f>
        <v>#VALUE!</v>
      </c>
      <c r="P48" s="133"/>
      <c r="Q48" s="133"/>
      <c r="R48" s="1"/>
      <c r="T48" s="115"/>
      <c r="U48" s="209"/>
      <c r="V48" s="209"/>
      <c r="W48" s="209"/>
      <c r="X48" s="209"/>
      <c r="Y48" s="214">
        <f>(Total_Income_Actual_Nov-TOTAL_DEDUCTIONS_Nov)</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Savings_Investments_MonthlySavings_Nov_2</f>
        <v>0</v>
      </c>
      <c r="O49" s="146" t="e">
        <f>(Savings_Investments_MinSavings_2+Savings_Investments_MonthlySavings_Nov_2)</f>
        <v>#VALUE!</v>
      </c>
      <c r="P49" s="133"/>
      <c r="Q49" s="133"/>
      <c r="R49" s="1"/>
      <c r="T49" s="115"/>
      <c r="U49" s="209"/>
      <c r="V49" s="209"/>
      <c r="W49" s="209"/>
      <c r="X49" s="209"/>
      <c r="Y49" s="212" t="e">
        <f>(TOTAL_DEDUCTIONS_Nov/Total_Income_Actual_Nov)</f>
        <v>#DIV/0!</v>
      </c>
      <c r="Z49" s="115"/>
    </row>
    <row r="50" spans="1:26" ht="16.5" thickBot="1" x14ac:dyDescent="0.35">
      <c r="A50" s="1"/>
      <c r="B50" s="149" t="s">
        <v>28</v>
      </c>
      <c r="C50" s="150">
        <f>IFERROR(SUM(Budgeted_Income_Nov),"")</f>
        <v>0</v>
      </c>
      <c r="D50" s="151">
        <f>IFERROR(SUM(Actual_Income_Nov),"")</f>
        <v>0</v>
      </c>
      <c r="E50" s="150">
        <f>IFERROR(SUM(Over_under_income_Nov),"")</f>
        <v>0</v>
      </c>
      <c r="F50" s="141"/>
      <c r="G50" s="142" t="s">
        <v>17</v>
      </c>
      <c r="H50" s="143">
        <v>0</v>
      </c>
      <c r="I50" s="143">
        <v>0</v>
      </c>
      <c r="J50" s="144">
        <f t="shared" si="0"/>
        <v>0</v>
      </c>
      <c r="K50" s="141"/>
      <c r="L50" s="148">
        <f>Savings_Investments_3</f>
        <v>0</v>
      </c>
      <c r="M50" s="146" t="e">
        <f>-Savings_Investments_MinSavings_3</f>
        <v>#VALUE!</v>
      </c>
      <c r="N50" s="110">
        <f>Savings_Investments_MonthlySavings_Nov_3</f>
        <v>0</v>
      </c>
      <c r="O50" s="146" t="e">
        <f>(Savings_Investments_MinSavings_3+Savings_Investments_MonthlySavings_Nov_3)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Savings_Investments_MonthlySavings_Nov_4</f>
        <v>0</v>
      </c>
      <c r="O51" s="146" t="e">
        <f>(Savings_Investments_MinSavings_4+Savings_Investments_MonthlySavings_Nov_4)</f>
        <v>#VALUE!</v>
      </c>
      <c r="P51" s="133"/>
      <c r="Q51" s="133"/>
      <c r="R51" s="1"/>
      <c r="T51" s="115"/>
      <c r="U51" s="218" t="str">
        <f>monthlyExpense_Nov9_Name</f>
        <v>Rental</v>
      </c>
      <c r="V51" s="219">
        <f>IFERROR(Expense9_BudgetNov,"")</f>
        <v>0</v>
      </c>
      <c r="W51" s="219">
        <f>IFERROR(Expense9_ActualNov,"")</f>
        <v>0</v>
      </c>
      <c r="X51" s="220">
        <f>MAX(Expense9_ActualNov-Expense9_BudgetNov,0)</f>
        <v>0</v>
      </c>
      <c r="Y51" s="214">
        <f>MAX(Expense9_BudgetNov-Expense9_ActualNov,0)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monthlyExpense_Nov4_Name</f>
        <v xml:space="preserve">Entertainment </v>
      </c>
      <c r="V52" s="219">
        <f>IFERROR(Expense4_BudgetNov,"")</f>
        <v>0</v>
      </c>
      <c r="W52" s="219">
        <f>IFERROR(Expense4_ActualNov,"")</f>
        <v>0</v>
      </c>
      <c r="X52" s="220">
        <f>MAX(Expense4_ActualNov-Expense4_BudgetNov,0)</f>
        <v>0</v>
      </c>
      <c r="Y52" s="214">
        <f>MAX(Expense4_BudgetNov-Expense4_ActualNov,0)</f>
        <v>0</v>
      </c>
      <c r="Z52" s="115"/>
    </row>
    <row r="53" spans="1:26" ht="16.5" thickBot="1" x14ac:dyDescent="0.35">
      <c r="A53" s="1"/>
      <c r="B53" s="152"/>
      <c r="C53" s="152"/>
      <c r="D53" s="152"/>
      <c r="E53" s="152"/>
      <c r="F53" s="152"/>
      <c r="G53" s="154" t="s">
        <v>28</v>
      </c>
      <c r="H53" s="155">
        <f>SUM(Budgeted_Expenses_Nov)</f>
        <v>0</v>
      </c>
      <c r="I53" s="156">
        <f>SUM(Actual_Expenses_Nov)</f>
        <v>0</v>
      </c>
      <c r="J53" s="150">
        <f>SUM(Over_under_expenses_Nov)</f>
        <v>0</v>
      </c>
      <c r="K53" s="152"/>
      <c r="L53" s="152"/>
      <c r="M53" s="152"/>
      <c r="N53" s="152"/>
      <c r="O53" s="152"/>
      <c r="P53" s="133"/>
      <c r="Q53" s="133"/>
      <c r="R53" s="1"/>
      <c r="T53" s="115"/>
      <c r="U53" s="218" t="str">
        <f>monthlyExpense_Nov5_Name</f>
        <v>Black Tax</v>
      </c>
      <c r="V53" s="219">
        <f>IFERROR(Expense5_BudgetNov,"")</f>
        <v>0</v>
      </c>
      <c r="W53" s="219">
        <f>IFERROR(Expense5_ActualNov,"")</f>
        <v>0</v>
      </c>
      <c r="X53" s="220">
        <f>MAX(Expense5_ActualNov-Expense5_BudgetNov,0)</f>
        <v>0</v>
      </c>
      <c r="Y53" s="214">
        <f>MAX(Expense5_BudgetNov-Expense5_ActualNov,0)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monthlyExpense_Nov1_Name</f>
        <v>Airtime/Data</v>
      </c>
      <c r="V54" s="219">
        <f>IFERROR(Expense1_BudgetNov,"")</f>
        <v>0</v>
      </c>
      <c r="W54" s="219">
        <f>IFERROR(Expense1_ActualNov,"")</f>
        <v>0</v>
      </c>
      <c r="X54" s="220">
        <f>MAX(Expense1_ActualNov-Expense1_BudgetNov,0)</f>
        <v>0</v>
      </c>
      <c r="Y54" s="214">
        <f>MAX(Expense1_BudgetNov-Expense1_ActualNov,0)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monthlyExpense_Nov2_Name</f>
        <v>Bank charges</v>
      </c>
      <c r="V55" s="219">
        <f>IFERROR(Expense2_BudgetNov,"")</f>
        <v>0</v>
      </c>
      <c r="W55" s="219">
        <f>IFERROR(Expense2_ActualNov,"")</f>
        <v>0</v>
      </c>
      <c r="X55" s="220">
        <f>MAX(Expense2_ActualNov-Expense2_BudgetNov,0)</f>
        <v>0</v>
      </c>
      <c r="Y55" s="214">
        <f>MAX(Expense2_BudgetNov-Expense2_ActualNov,0)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monthlyExpense_Nov3_Name</f>
        <v>Clothes</v>
      </c>
      <c r="V56" s="219">
        <f>IFERROR(Expense3_BudgetNov,"")</f>
        <v>0</v>
      </c>
      <c r="W56" s="219">
        <f>IFERROR(Expense3_ActualNov,"")</f>
        <v>0</v>
      </c>
      <c r="X56" s="220">
        <f>MAX(Expense3_ActualNov-Expense3_BudgetNov,0)</f>
        <v>0</v>
      </c>
      <c r="Y56" s="214">
        <f>MAX(Expense3_BudgetNov-Expense3_ActualNov,0)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monthlyExpense_Nov6_Name</f>
        <v>Groceries</v>
      </c>
      <c r="V57" s="219">
        <f>IFERROR(Expense6_BudgetNov,"")</f>
        <v>0</v>
      </c>
      <c r="W57" s="219">
        <f>IFERROR(Expense6_ActualNov,"")</f>
        <v>0</v>
      </c>
      <c r="X57" s="220">
        <f>MAX(Expense6_ActualNov-Expense6_BudgetNov,0)</f>
        <v>0</v>
      </c>
      <c r="Y57" s="214">
        <f>MAX(Expense6_BudgetNov-Expense6_ActualNov,0)</f>
        <v>0</v>
      </c>
      <c r="Z57" s="115"/>
    </row>
    <row r="58" spans="1:26" x14ac:dyDescent="0.3">
      <c r="T58" s="115"/>
      <c r="U58" s="218" t="str">
        <f>monthlyExpense_Nov7_Name</f>
        <v>Hair</v>
      </c>
      <c r="V58" s="219">
        <f>IFERROR(Expense7_BudgetNov,"")</f>
        <v>0</v>
      </c>
      <c r="W58" s="219">
        <f>IFERROR(Expense7_ActualNov,"")</f>
        <v>0</v>
      </c>
      <c r="X58" s="220">
        <f>MAX(Expense7_ActualNov-Expense7_BudgetNov,0)</f>
        <v>0</v>
      </c>
      <c r="Y58" s="214">
        <f>MAX(Expense7_BudgetNov-Expense7_ActualNov,0)</f>
        <v>0</v>
      </c>
      <c r="Z58" s="115"/>
    </row>
    <row r="59" spans="1:26" x14ac:dyDescent="0.3">
      <c r="T59" s="115"/>
      <c r="U59" s="218" t="str">
        <f>monthlyExpense_Nov8_Name</f>
        <v>Transport</v>
      </c>
      <c r="V59" s="219">
        <f>IFERROR(Expense8_BudgetNov,"")</f>
        <v>0</v>
      </c>
      <c r="W59" s="219">
        <f>IFERROR(Expense8_ActualNov,"")</f>
        <v>0</v>
      </c>
      <c r="X59" s="220">
        <f>MAX(Expense8_ActualNov-Expense8_BudgetNov,0)</f>
        <v>0</v>
      </c>
      <c r="Y59" s="214">
        <f>MAX(Expense8_BudgetNov-Expense8_ActualNov,0)</f>
        <v>0</v>
      </c>
      <c r="Z59" s="115"/>
    </row>
    <row r="60" spans="1:26" x14ac:dyDescent="0.3">
      <c r="T60" s="115"/>
      <c r="U60" s="218" t="str">
        <f>monthlyExpense_Nov10_Name</f>
        <v xml:space="preserve">Stationery </v>
      </c>
      <c r="V60" s="219">
        <f>IFERROR(Expense10_BudgetNov,"")</f>
        <v>0</v>
      </c>
      <c r="W60" s="219">
        <f>IFERROR(Expense10_ActualNov,"")</f>
        <v>0</v>
      </c>
      <c r="X60" s="220">
        <f>MAX(Expense10_ActualNov-Expense10_BudgetNov,0)</f>
        <v>0</v>
      </c>
      <c r="Y60" s="214">
        <f>MAX(Expense10_BudgetNov-Expense10_ActualNov,0)</f>
        <v>0</v>
      </c>
      <c r="Z60" s="115"/>
    </row>
    <row r="61" spans="1:26" x14ac:dyDescent="0.3">
      <c r="T61" s="115"/>
      <c r="U61" s="218" t="str">
        <f>monthlyExpense_Nov11_Name</f>
        <v xml:space="preserve">Other </v>
      </c>
      <c r="V61" s="219">
        <f>IFERROR(Expense11_BudgetNov,"")</f>
        <v>0</v>
      </c>
      <c r="W61" s="219">
        <f>IFERROR(Expense11_ActualNov,"")</f>
        <v>0</v>
      </c>
      <c r="X61" s="220">
        <f>MAX(Expense10_ActualNov-Expense10_BudgetNov,0)</f>
        <v>0</v>
      </c>
      <c r="Y61" s="214">
        <f>MAX(Expense11_BudgetNov-Expense11_ActualNov,0)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Nov_SubTotal+Informal_Nov_SubTotal+Friends_family_Nov_SubTotal)+(Formal_Oct_SubTotal+Informal_Oct_SubTotal+Friends_family_Oct_SubTotal)+(Formal_Sep_SubTotal+Informal_Sep_SubTotal+Friends_family_Sep_SubTotal)+(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249977111117893"/>
  </sheetPr>
  <dimension ref="A1:Z70"/>
  <sheetViews>
    <sheetView topLeftCell="A17"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SUM(Formal_Dec_SubTotal+Informal_Dec_SubTotal+Friends_family_Dec_SubTotal)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Formal_Dec_SubTotal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Total_Income_Actual_Dec</f>
        <v>0</v>
      </c>
      <c r="C30" s="5"/>
      <c r="D30" s="5"/>
      <c r="E30" s="5"/>
      <c r="F30" s="5"/>
      <c r="G30" s="5"/>
      <c r="H30" s="5"/>
      <c r="I30" s="5"/>
      <c r="J30" s="5"/>
      <c r="K30" s="5"/>
      <c r="L30" s="126" t="str">
        <f>L42</f>
        <v>Goals</v>
      </c>
      <c r="M30" s="5"/>
      <c r="N30" s="126">
        <f>N42</f>
        <v>0</v>
      </c>
      <c r="O30" s="5"/>
      <c r="P30" s="121">
        <f>Informal_Dec_SubTotal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Total_Expenses_Dec</f>
        <v>0</v>
      </c>
      <c r="H32" s="5"/>
      <c r="I32" s="5"/>
      <c r="J32" s="5"/>
      <c r="K32" s="5"/>
      <c r="L32" s="123" t="str">
        <f>L47</f>
        <v>Savings and Investments</v>
      </c>
      <c r="M32" s="125"/>
      <c r="N32" s="124">
        <f>N47</f>
        <v>0</v>
      </c>
      <c r="O32" s="5"/>
      <c r="P32" s="132">
        <f>Friends_family_Dec_SubTotal</f>
        <v>0</v>
      </c>
      <c r="Q32" s="5"/>
      <c r="R32" s="1"/>
    </row>
    <row r="33" spans="1:26" ht="15.75" x14ac:dyDescent="0.3">
      <c r="A33" s="1"/>
      <c r="B33" s="119">
        <f>(Total_Income_Actual_Dec-Total_Expenses_Dec)</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1754</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IFERROR(SUM(Goals_DecSavings),"")</f>
        <v>0</v>
      </c>
      <c r="O42" s="113" t="str">
        <f>IFERROR(SUM(Over_under_Goals_Dec),"")</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Savings_Goal_MonthlySavings_Dec_1</f>
        <v>0</v>
      </c>
      <c r="O43" s="146" t="e">
        <f>(Savings_Goal_MonthlySavings_Dec_1+Savings_Goal_MinSavings_1)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Savings_Goal_MonthlySavings_Dec_2</f>
        <v>0</v>
      </c>
      <c r="O44" s="146" t="e">
        <f>(Savings_Goal_MonthlySavings_Dec_2+Savings_Goal_MinSavings_2)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Savings_Goal_MonthlySavings_Dec_3</f>
        <v>0</v>
      </c>
      <c r="O45" s="146" t="e">
        <f>(Savings_Goal_MonthlySavings_Dec_3+Savings_Goal_MinSavings_3)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Savings_Goal_MonthlySavings_Dec_4</f>
        <v>0</v>
      </c>
      <c r="O46" s="146" t="e">
        <f>(Savings_Goal_MonthlySavings_Dec_4+Savings_Goal_MinSavings_4)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IFERROR(SUM(SavingsInvestments_DecSavings),"")</f>
        <v>0</v>
      </c>
      <c r="O47" s="114" t="str">
        <f>IFERROR(SUM(Over_Under_Savings_Dec),"")</f>
        <v/>
      </c>
      <c r="P47" s="133"/>
      <c r="Q47" s="133"/>
      <c r="R47" s="1"/>
      <c r="T47" s="115"/>
      <c r="U47" s="115" t="s">
        <v>375</v>
      </c>
      <c r="V47" s="209"/>
      <c r="W47" s="212">
        <v>0.5</v>
      </c>
      <c r="X47" s="209"/>
      <c r="Y47" s="213">
        <f>SUM(Total_Expenses_Dec+Formal_Dec_SubTotal+Informal_Dec_SubTotal+Friends_family_Dec_SubTotal+Goals_Dec_SubTotal+SavingsInvestments_Dec_SubTotal)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Savings_Investments_MonthlySavings_Dec_1</f>
        <v>0</v>
      </c>
      <c r="O48" s="146" t="e">
        <f>(Savings_Investments_MinSavings_1+Savings_Investments_MonthlySavings_Dec_1)</f>
        <v>#VALUE!</v>
      </c>
      <c r="P48" s="133"/>
      <c r="Q48" s="133"/>
      <c r="R48" s="1"/>
      <c r="T48" s="115"/>
      <c r="U48" s="209"/>
      <c r="V48" s="209"/>
      <c r="W48" s="209"/>
      <c r="X48" s="209"/>
      <c r="Y48" s="214">
        <f>(Total_Income_Actual_Dec-TOTAL_DEDUCTIONS_Dec)</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Savings_Investments_MonthlySavings_Dec_2</f>
        <v>0</v>
      </c>
      <c r="O49" s="146" t="e">
        <f>(Savings_Investments_MinSavings_2+Savings_Investments_MonthlySavings_Dec_2)</f>
        <v>#VALUE!</v>
      </c>
      <c r="P49" s="133"/>
      <c r="Q49" s="133"/>
      <c r="R49" s="1"/>
      <c r="T49" s="115"/>
      <c r="U49" s="209"/>
      <c r="V49" s="209"/>
      <c r="W49" s="209"/>
      <c r="X49" s="209"/>
      <c r="Y49" s="212" t="e">
        <f>(TOTAL_DEDUCTIONS_Dec/Total_Income_Actual_Dec)</f>
        <v>#DIV/0!</v>
      </c>
      <c r="Z49" s="115"/>
    </row>
    <row r="50" spans="1:26" ht="16.5" thickBot="1" x14ac:dyDescent="0.35">
      <c r="A50" s="1"/>
      <c r="B50" s="149" t="s">
        <v>28</v>
      </c>
      <c r="C50" s="150">
        <f>IFERROR(SUM(Budgeted_Income_Dec),"")</f>
        <v>0</v>
      </c>
      <c r="D50" s="151">
        <f>IFERROR(SUM(Actual_Income_Dec),"")</f>
        <v>0</v>
      </c>
      <c r="E50" s="150">
        <f>IFERROR(SUM(Over_under_income_Dec),"")</f>
        <v>0</v>
      </c>
      <c r="F50" s="141"/>
      <c r="G50" s="142" t="s">
        <v>17</v>
      </c>
      <c r="H50" s="143">
        <v>0</v>
      </c>
      <c r="I50" s="143">
        <v>0</v>
      </c>
      <c r="J50" s="144">
        <f t="shared" si="0"/>
        <v>0</v>
      </c>
      <c r="K50" s="141"/>
      <c r="L50" s="148">
        <f>Savings_Investments_3</f>
        <v>0</v>
      </c>
      <c r="M50" s="146" t="e">
        <f>-Savings_Investments_MinSavings_3</f>
        <v>#VALUE!</v>
      </c>
      <c r="N50" s="110">
        <f>Savings_Investments_MonthlySavings_Dec_3</f>
        <v>0</v>
      </c>
      <c r="O50" s="146" t="e">
        <f>(Savings_Investments_MinSavings_3+Savings_Investments_MonthlySavings_Dec_3)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Savings_Investments_MonthlySavings_Dec_4</f>
        <v>0</v>
      </c>
      <c r="O51" s="146" t="e">
        <f>(Savings_Investments_MinSavings_4+Savings_Investments_MonthlySavings_Dec_4)</f>
        <v>#VALUE!</v>
      </c>
      <c r="P51" s="133"/>
      <c r="Q51" s="133"/>
      <c r="R51" s="1"/>
      <c r="T51" s="115"/>
      <c r="U51" s="218" t="str">
        <f>monthlyExpense_Dec9_Name</f>
        <v>Rental</v>
      </c>
      <c r="V51" s="219">
        <f>IFERROR(Expense9_BudgetDec,"")</f>
        <v>0</v>
      </c>
      <c r="W51" s="219">
        <f>IFERROR(Expense9_ActualDec,"")</f>
        <v>0</v>
      </c>
      <c r="X51" s="220">
        <f>MAX(Expense9_ActualDec-Expense9_BudgetDec,0)</f>
        <v>0</v>
      </c>
      <c r="Y51" s="214">
        <f>MAX(Expense9_BudgetDec-Expense9_ActualDec,0)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monthlyExpense_Dec4_Name</f>
        <v xml:space="preserve">Entertainment </v>
      </c>
      <c r="V52" s="219">
        <f>IFERROR(Expense4_BudgetDec,"")</f>
        <v>0</v>
      </c>
      <c r="W52" s="219">
        <f>IFERROR(Expense4_ActualDec,"")</f>
        <v>0</v>
      </c>
      <c r="X52" s="220">
        <f>MAX(Expense4_ActualDec-Expense4_BudgetDec,0)</f>
        <v>0</v>
      </c>
      <c r="Y52" s="214">
        <f>MAX(Expense4_BudgetDec-Expense4_ActualDec,0)</f>
        <v>0</v>
      </c>
      <c r="Z52" s="115"/>
    </row>
    <row r="53" spans="1:26" ht="16.5" thickBot="1" x14ac:dyDescent="0.35">
      <c r="A53" s="1"/>
      <c r="B53" s="152"/>
      <c r="C53" s="152"/>
      <c r="D53" s="152"/>
      <c r="E53" s="152"/>
      <c r="F53" s="152"/>
      <c r="G53" s="154" t="s">
        <v>28</v>
      </c>
      <c r="H53" s="155">
        <f>SUM(Budgeted_Expenses_Dec)</f>
        <v>0</v>
      </c>
      <c r="I53" s="156">
        <f>SUM(Actual_Expenses_Dec)</f>
        <v>0</v>
      </c>
      <c r="J53" s="150">
        <f>SUM(Over_under_expenses_Dec)</f>
        <v>0</v>
      </c>
      <c r="K53" s="152"/>
      <c r="L53" s="152"/>
      <c r="M53" s="152"/>
      <c r="N53" s="152"/>
      <c r="O53" s="152"/>
      <c r="P53" s="133"/>
      <c r="Q53" s="133"/>
      <c r="R53" s="1"/>
      <c r="T53" s="115"/>
      <c r="U53" s="218" t="str">
        <f>monthlyExpense_Dec5_Name</f>
        <v>Black Tax</v>
      </c>
      <c r="V53" s="219">
        <f>IFERROR(Expense5_BudgetDec,"")</f>
        <v>0</v>
      </c>
      <c r="W53" s="219">
        <f>IFERROR(Expense5_ActualDec,"")</f>
        <v>0</v>
      </c>
      <c r="X53" s="220">
        <f>MAX(Expense5_ActualDec-Expense5_BudgetDec,0)</f>
        <v>0</v>
      </c>
      <c r="Y53" s="214">
        <f>MAX(Expense5_BudgetDec-Expense5_ActualDec,0)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monthlyExpense_Dec1_Name</f>
        <v>Airtime/Data</v>
      </c>
      <c r="V54" s="219">
        <f>IFERROR(Expense1_BudgetDec,"")</f>
        <v>0</v>
      </c>
      <c r="W54" s="219">
        <f>IFERROR(Expense1_ActualDec,"")</f>
        <v>0</v>
      </c>
      <c r="X54" s="220">
        <f>MAX(Expense1_ActualDec-Expense1_BudgetDec,0)</f>
        <v>0</v>
      </c>
      <c r="Y54" s="214">
        <f>MAX(Expense1_BudgetDec-Expense1_ActualDec,0)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monthlyExpense_Dec2_Name</f>
        <v>Bank charges</v>
      </c>
      <c r="V55" s="219">
        <f>IFERROR(Expense2_BudgetDec,"")</f>
        <v>0</v>
      </c>
      <c r="W55" s="219">
        <f>IFERROR(Expense2_ActualDec,"")</f>
        <v>0</v>
      </c>
      <c r="X55" s="220">
        <f>MAX(Expense2_ActualDec-Expense2_BudgetDec,0)</f>
        <v>0</v>
      </c>
      <c r="Y55" s="214">
        <f>MAX(Expense2_BudgetDec-Expense2_ActualDec,0)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monthlyExpense_Dec3_Name</f>
        <v>Clothes</v>
      </c>
      <c r="V56" s="219">
        <f>IFERROR(Expense3_BudgetDec,"")</f>
        <v>0</v>
      </c>
      <c r="W56" s="219">
        <f>IFERROR(Expense3_ActualDec,"")</f>
        <v>0</v>
      </c>
      <c r="X56" s="220">
        <f>MAX(Expense3_ActualDec-Expense3_BudgetDec,0)</f>
        <v>0</v>
      </c>
      <c r="Y56" s="214">
        <f>MAX(Expense3_BudgetDec-Expense3_ActualDec,0)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monthlyExpense_Dec6_Name</f>
        <v>Groceries</v>
      </c>
      <c r="V57" s="219">
        <f>IFERROR(Expense6_BudgetDec,"")</f>
        <v>0</v>
      </c>
      <c r="W57" s="219">
        <f>IFERROR(Expense6_ActualDec,"")</f>
        <v>0</v>
      </c>
      <c r="X57" s="220">
        <f>MAX(Expense6_ActualDec-Expense6_BudgetDec,0)</f>
        <v>0</v>
      </c>
      <c r="Y57" s="214">
        <f>MAX(Expense6_BudgetDec-Expense6_ActualDec,0)</f>
        <v>0</v>
      </c>
      <c r="Z57" s="115"/>
    </row>
    <row r="58" spans="1:26" x14ac:dyDescent="0.3">
      <c r="T58" s="115"/>
      <c r="U58" s="218" t="str">
        <f>monthlyExpense_Dec7_Name</f>
        <v>Hair</v>
      </c>
      <c r="V58" s="219">
        <f>IFERROR(Expense7_BudgetDec,"")</f>
        <v>0</v>
      </c>
      <c r="W58" s="219">
        <f>IFERROR(Expense7_ActualDec,"")</f>
        <v>0</v>
      </c>
      <c r="X58" s="220">
        <f>MAX(Expense7_ActualDec-Expense7_BudgetDec,0)</f>
        <v>0</v>
      </c>
      <c r="Y58" s="214">
        <f>MAX(Expense7_BudgetDec-Expense7_ActualDec,0)</f>
        <v>0</v>
      </c>
      <c r="Z58" s="115"/>
    </row>
    <row r="59" spans="1:26" x14ac:dyDescent="0.3">
      <c r="T59" s="115"/>
      <c r="U59" s="218" t="str">
        <f>monthlyExpense_Dec8_Name</f>
        <v>Transport</v>
      </c>
      <c r="V59" s="219">
        <f>IFERROR(Expense8_BudgetDec,"")</f>
        <v>0</v>
      </c>
      <c r="W59" s="219">
        <f>IFERROR(Expense8_ActualDec,"")</f>
        <v>0</v>
      </c>
      <c r="X59" s="220">
        <f>MAX(Expense8_ActualDec-Expense8_BudgetDec,0)</f>
        <v>0</v>
      </c>
      <c r="Y59" s="214">
        <f>MAX(Expense8_BudgetDec-Expense8_ActualDec,0)</f>
        <v>0</v>
      </c>
      <c r="Z59" s="115"/>
    </row>
    <row r="60" spans="1:26" x14ac:dyDescent="0.3">
      <c r="T60" s="115"/>
      <c r="U60" s="218" t="str">
        <f>monthlyExpense_Dec10_Name</f>
        <v xml:space="preserve">Stationery </v>
      </c>
      <c r="V60" s="219">
        <f>IFERROR(Expense10_BudgetDec,"")</f>
        <v>0</v>
      </c>
      <c r="W60" s="219">
        <f>IFERROR(Expense10_ActualDec,"")</f>
        <v>0</v>
      </c>
      <c r="X60" s="220">
        <f>MAX(Expense10_ActualDec-Expense10_BudgetDec,0)</f>
        <v>0</v>
      </c>
      <c r="Y60" s="214">
        <f>MAX(Expense10_BudgetDec-Expense10_ActualDec,0)</f>
        <v>0</v>
      </c>
      <c r="Z60" s="115"/>
    </row>
    <row r="61" spans="1:26" x14ac:dyDescent="0.3">
      <c r="T61" s="115"/>
      <c r="U61" s="218" t="str">
        <f>monthlyExpense_Dec11_Name</f>
        <v xml:space="preserve">Other </v>
      </c>
      <c r="V61" s="219">
        <f>IFERROR(Expense11_BudgetDec,"")</f>
        <v>0</v>
      </c>
      <c r="W61" s="219">
        <f>IFERROR(Expense11_ActualDec,"")</f>
        <v>0</v>
      </c>
      <c r="X61" s="220">
        <f>MAX(Expense10_ActualDec-Expense10_BudgetDec,0)</f>
        <v>0</v>
      </c>
      <c r="Y61" s="214">
        <f>MAX(Expense11_BudgetDec-Expense11_ActualDec,0)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Dec_SubTotal+Informal_Dec_SubTotal+Friends_family_Dec_SubTotal)+(Formal_Nov_SubTotal+Informal_Nov_SubTotal+Friends_family_Nov_SubTotal)+(Formal_Oct_SubTotal+Informal_Oct_SubTotal+Friends_family_Oct_SubTotal)+(Formal_Sep_SubTotal+Informal_Sep_SubTotal+Friends_family_Sep_SubTotal)+(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AE70"/>
  <sheetViews>
    <sheetView topLeftCell="A11" workbookViewId="0">
      <selection activeCell="R59" sqref="R59"/>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Dec!P26</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Formal_Dec_SubTotal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Total_Income_Actual_YEARLY</f>
        <v>0</v>
      </c>
      <c r="C30" s="5"/>
      <c r="D30" s="5"/>
      <c r="E30" s="5"/>
      <c r="F30" s="5"/>
      <c r="G30" s="5"/>
      <c r="H30" s="5"/>
      <c r="I30" s="5"/>
      <c r="J30" s="5"/>
      <c r="K30" s="5"/>
      <c r="L30" s="126" t="str">
        <f>L42</f>
        <v>Goals</v>
      </c>
      <c r="M30" s="5"/>
      <c r="N30" s="126">
        <f>N42</f>
        <v>0</v>
      </c>
      <c r="O30" s="5"/>
      <c r="P30" s="121">
        <f>Informal_Dec_SubTotal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Total_Expenses_YEARLY</f>
        <v>0</v>
      </c>
      <c r="H32" s="5"/>
      <c r="I32" s="5"/>
      <c r="J32" s="5"/>
      <c r="K32" s="5"/>
      <c r="L32" s="123" t="str">
        <f>L47</f>
        <v>Savings and Investments</v>
      </c>
      <c r="M32" s="125"/>
      <c r="N32" s="124">
        <f>N47</f>
        <v>0</v>
      </c>
      <c r="O32" s="5"/>
      <c r="P32" s="132">
        <f>Friends_family_Dec_SubTotal</f>
        <v>0</v>
      </c>
      <c r="Q32" s="5"/>
      <c r="R32" s="1"/>
    </row>
    <row r="33" spans="1:31" ht="15.75" x14ac:dyDescent="0.3">
      <c r="A33" s="1"/>
      <c r="B33" s="119">
        <f>(Total_Income_Actual_YEARLY-Total_Expenses_YEARLY)</f>
        <v>0</v>
      </c>
      <c r="C33" s="5"/>
      <c r="D33" s="5"/>
      <c r="E33" s="5"/>
      <c r="F33" s="5"/>
      <c r="G33" s="5"/>
      <c r="H33" s="5"/>
      <c r="I33" s="5"/>
      <c r="J33" s="5"/>
      <c r="K33" s="5"/>
      <c r="L33" s="5"/>
      <c r="M33" s="5"/>
      <c r="N33" s="5"/>
      <c r="O33" s="5"/>
      <c r="P33" s="5"/>
      <c r="Q33" s="5"/>
      <c r="R33" s="1"/>
    </row>
    <row r="34" spans="1:31" ht="15.75" x14ac:dyDescent="0.3">
      <c r="A34" s="1"/>
      <c r="B34" s="5"/>
      <c r="C34" s="5"/>
      <c r="D34" s="5"/>
      <c r="E34" s="5"/>
      <c r="F34" s="5"/>
      <c r="G34" s="5"/>
      <c r="H34" s="5"/>
      <c r="I34" s="5"/>
      <c r="J34" s="5"/>
      <c r="K34" s="5"/>
      <c r="L34" s="5"/>
      <c r="M34" s="5"/>
      <c r="N34" s="5"/>
      <c r="O34" s="5"/>
      <c r="P34" s="133"/>
      <c r="Q34" s="5"/>
      <c r="R34" s="1"/>
      <c r="S34" s="103"/>
      <c r="T34" s="103"/>
      <c r="U34" s="103"/>
      <c r="V34" s="103"/>
      <c r="W34" s="103"/>
      <c r="X34" s="103"/>
      <c r="Y34" s="103"/>
      <c r="Z34" s="103"/>
      <c r="AA34" s="103"/>
    </row>
    <row r="35" spans="1:31" ht="15.75" x14ac:dyDescent="0.3">
      <c r="A35" s="1"/>
      <c r="B35" s="133"/>
      <c r="C35" s="133"/>
      <c r="D35" s="133"/>
      <c r="E35" s="133"/>
      <c r="F35" s="133"/>
      <c r="G35" s="133"/>
      <c r="H35" s="133"/>
      <c r="I35" s="133"/>
      <c r="J35" s="133"/>
      <c r="K35" s="133"/>
      <c r="L35" s="133"/>
      <c r="M35" s="133"/>
      <c r="N35" s="133"/>
      <c r="O35" s="133"/>
      <c r="P35" s="133"/>
      <c r="Q35" s="133"/>
      <c r="R35" s="1"/>
      <c r="S35" s="103"/>
      <c r="T35" s="103"/>
      <c r="U35" s="103"/>
      <c r="V35" s="103"/>
      <c r="W35" s="103"/>
      <c r="X35" s="103"/>
      <c r="Y35" s="103"/>
      <c r="Z35" s="103"/>
      <c r="AA35" s="103"/>
    </row>
    <row r="36" spans="1:31" ht="15.75" x14ac:dyDescent="0.3">
      <c r="A36" s="1"/>
      <c r="B36" s="135"/>
      <c r="C36" s="135"/>
      <c r="D36" s="135"/>
      <c r="E36" s="135"/>
      <c r="F36" s="135"/>
      <c r="G36" s="135"/>
      <c r="H36" s="135"/>
      <c r="I36" s="135"/>
      <c r="J36" s="135"/>
      <c r="K36" s="135"/>
      <c r="L36" s="135"/>
      <c r="M36" s="135"/>
      <c r="N36" s="135"/>
      <c r="O36" s="135"/>
      <c r="P36" s="135"/>
      <c r="Q36" s="135"/>
      <c r="R36" s="1"/>
      <c r="S36" s="103"/>
      <c r="T36" s="223"/>
      <c r="U36" s="103"/>
      <c r="V36" s="103"/>
      <c r="W36" s="103"/>
      <c r="X36" s="103"/>
      <c r="Y36" s="103"/>
      <c r="Z36" s="103"/>
      <c r="AA36" s="103"/>
    </row>
    <row r="37" spans="1:31" ht="15.75" x14ac:dyDescent="0.3">
      <c r="A37" s="1"/>
      <c r="B37" s="135"/>
      <c r="C37" s="135"/>
      <c r="D37" s="135"/>
      <c r="E37" s="135"/>
      <c r="F37" s="135"/>
      <c r="G37" s="135"/>
      <c r="H37" s="135"/>
      <c r="I37" s="135"/>
      <c r="J37" s="135"/>
      <c r="K37" s="135"/>
      <c r="L37" s="135"/>
      <c r="M37" s="135"/>
      <c r="N37" s="135"/>
      <c r="O37" s="135"/>
      <c r="P37" s="135"/>
      <c r="Q37" s="135"/>
      <c r="R37" s="1"/>
      <c r="S37" s="103"/>
      <c r="T37" s="103"/>
      <c r="U37" s="103"/>
      <c r="V37" s="103"/>
      <c r="W37" s="103"/>
      <c r="X37" s="103"/>
      <c r="Y37" s="103"/>
      <c r="Z37" s="103"/>
      <c r="AA37" s="103"/>
    </row>
    <row r="38" spans="1:31" ht="15.75" x14ac:dyDescent="0.3">
      <c r="A38" s="1"/>
      <c r="B38" s="133"/>
      <c r="C38" s="133"/>
      <c r="D38" s="133"/>
      <c r="E38" s="133"/>
      <c r="F38" s="133"/>
      <c r="G38" s="133"/>
      <c r="H38" s="133"/>
      <c r="I38" s="133"/>
      <c r="J38" s="133"/>
      <c r="K38" s="133"/>
      <c r="L38" s="133"/>
      <c r="M38" s="133"/>
      <c r="N38" s="133"/>
      <c r="O38" s="133"/>
      <c r="P38" s="133"/>
      <c r="Q38" s="133"/>
      <c r="R38" s="1"/>
      <c r="S38" s="103"/>
      <c r="T38" s="103"/>
      <c r="U38" s="103"/>
      <c r="V38" s="103"/>
      <c r="W38" s="103"/>
      <c r="X38" s="103"/>
      <c r="Y38" s="103"/>
      <c r="Z38" s="103"/>
      <c r="AA38" s="103"/>
    </row>
    <row r="39" spans="1:31" ht="15.75" x14ac:dyDescent="0.3">
      <c r="A39" s="1"/>
      <c r="B39" s="272" t="s">
        <v>1757</v>
      </c>
      <c r="C39" s="272"/>
      <c r="D39" s="272"/>
      <c r="E39" s="139"/>
      <c r="F39" s="139"/>
      <c r="G39" s="139"/>
      <c r="H39" s="139"/>
      <c r="I39" s="139"/>
      <c r="J39" s="139"/>
      <c r="K39" s="139"/>
      <c r="L39" s="139"/>
      <c r="M39" s="139"/>
      <c r="N39" s="139"/>
      <c r="O39" s="139"/>
      <c r="P39" s="139"/>
      <c r="Q39" s="139"/>
      <c r="R39" s="1"/>
      <c r="S39" s="103"/>
      <c r="T39" s="103"/>
      <c r="U39" s="103"/>
      <c r="V39" s="103"/>
      <c r="W39" s="103"/>
      <c r="X39" s="103"/>
      <c r="Y39" s="103"/>
      <c r="Z39" s="103"/>
      <c r="AA39" s="103"/>
      <c r="AB39" s="222"/>
      <c r="AC39" s="222"/>
      <c r="AD39" s="222"/>
      <c r="AE39" s="222"/>
    </row>
    <row r="40" spans="1:31" ht="15.75" x14ac:dyDescent="0.3">
      <c r="A40" s="1"/>
      <c r="B40" s="173" t="s">
        <v>1755</v>
      </c>
      <c r="C40" s="173"/>
      <c r="D40" s="173"/>
      <c r="E40" s="173"/>
      <c r="F40" s="174"/>
      <c r="G40" s="175" t="s">
        <v>1756</v>
      </c>
      <c r="H40" s="174"/>
      <c r="I40" s="174"/>
      <c r="J40" s="174"/>
      <c r="K40" s="174"/>
      <c r="L40" s="273" t="s">
        <v>24</v>
      </c>
      <c r="M40" s="273"/>
      <c r="N40" s="273"/>
      <c r="O40" s="273"/>
      <c r="P40" s="133"/>
      <c r="Q40" s="133"/>
      <c r="R40" s="1"/>
      <c r="S40" s="103"/>
      <c r="T40" s="115"/>
      <c r="U40" s="115"/>
      <c r="V40" s="115"/>
      <c r="W40" s="115"/>
      <c r="X40" s="115"/>
      <c r="Y40" s="115"/>
      <c r="Z40" s="115"/>
      <c r="AA40" s="103"/>
      <c r="AB40" s="222"/>
      <c r="AC40" s="222"/>
      <c r="AD40" s="222"/>
      <c r="AE40" s="222"/>
    </row>
    <row r="41" spans="1:31" ht="15.75" x14ac:dyDescent="0.3">
      <c r="A41" s="1"/>
      <c r="B41" s="176" t="s">
        <v>3</v>
      </c>
      <c r="C41" s="177" t="s">
        <v>4</v>
      </c>
      <c r="D41" s="177" t="s">
        <v>5</v>
      </c>
      <c r="E41" s="178" t="s">
        <v>6</v>
      </c>
      <c r="F41" s="174"/>
      <c r="G41" s="179" t="s">
        <v>16</v>
      </c>
      <c r="H41" s="180" t="s">
        <v>4</v>
      </c>
      <c r="I41" s="180" t="s">
        <v>5</v>
      </c>
      <c r="J41" s="181" t="s">
        <v>6</v>
      </c>
      <c r="K41" s="174"/>
      <c r="L41" s="182" t="s">
        <v>25</v>
      </c>
      <c r="M41" s="183" t="s">
        <v>4</v>
      </c>
      <c r="N41" s="183" t="s">
        <v>5</v>
      </c>
      <c r="O41" s="184" t="s">
        <v>6</v>
      </c>
      <c r="P41" s="133"/>
      <c r="Q41" s="133"/>
      <c r="R41" s="1"/>
      <c r="S41" s="103"/>
      <c r="T41" s="115"/>
      <c r="U41" s="271" t="s">
        <v>367</v>
      </c>
      <c r="V41" s="271"/>
      <c r="W41" s="271"/>
      <c r="X41" s="271"/>
      <c r="Y41" s="115"/>
      <c r="Z41" s="115"/>
      <c r="AA41" s="103"/>
      <c r="AB41" s="222"/>
      <c r="AC41" s="222"/>
      <c r="AD41" s="222"/>
      <c r="AE41" s="222"/>
    </row>
    <row r="42" spans="1:31" ht="16.5" thickBot="1" x14ac:dyDescent="0.35">
      <c r="A42" s="1"/>
      <c r="B42" s="185" t="s">
        <v>7</v>
      </c>
      <c r="C42" s="186">
        <f>IFERROR(SUM(Income1_BudgetJan,Income1_BudgetFeb,Income1_BudgetMar,Income1_BudgetApr,Income1_BudgetMay,Income1_BudgetJun,Income1_BudgetJul,Income1_BudgetAug,Income1_BudgetSep,Income1_BudgetOct,Income1_BudgetNov,Income1_BudgetDec),"")</f>
        <v>0</v>
      </c>
      <c r="D42" s="186">
        <f>IFERROR(SUM(Income1_ActualJan,Income1_ActualFeb,Income1_ActualMar,Income1_ActualApr,Income1_ActualMay,Income1_ActualJun,Income1_ActualJul,Income1_ActualAug,Income1_ActualSep,Income1_ActualOct,Income1_ActualNov,Income1_ActualDec),"")</f>
        <v>0</v>
      </c>
      <c r="E42" s="187">
        <f>(C42-D42)</f>
        <v>0</v>
      </c>
      <c r="F42" s="188"/>
      <c r="G42" s="189" t="s">
        <v>21</v>
      </c>
      <c r="H42" s="172">
        <f>IFERROR(SUM(Expense1_BudgetJan,Expense1_BudgetFeb,Expense1_BudgetMar,Expense1_BudgetApr,Expense1_BudgetMay,Expense1_BudgetJun,Expense1_BudgetJul,Expense1_BudgetAug,Expense1_BudgetSep,Expense1_BudgetOct,Expense1_BudgetNov,Expense1_BudgetDec),"")</f>
        <v>0</v>
      </c>
      <c r="I42" s="172">
        <f>IFERROR(SUM(Income1_ActualJan,Expense1_ActualFeb,Expense1_ActualMar,Expense1_ActualApr,Expense1_ActualMay,Expense1_ActualJun,Expense1_ActualJul,Expense1_ActualAug,Expense1_ActualSep,Expense1_ActualOct,Expense1_ActualNov,Expense1_ActualDec),"")</f>
        <v>0</v>
      </c>
      <c r="J42" s="190">
        <f t="shared" ref="J42:J52" si="0">(H42-I42)</f>
        <v>0</v>
      </c>
      <c r="K42" s="188"/>
      <c r="L42" s="191" t="s">
        <v>26</v>
      </c>
      <c r="M42" s="192">
        <f>IFERROR(-SUM(Goals_MinSavings)*12,"")</f>
        <v>0</v>
      </c>
      <c r="N42" s="192">
        <f>IFERROR(SUM(Goals_Actual_YEARLY),"")</f>
        <v>0</v>
      </c>
      <c r="O42" s="192" t="str">
        <f>IFERROR(SUM(Over_under_Goals_Annual),"")</f>
        <v/>
      </c>
      <c r="P42" s="133"/>
      <c r="Q42" s="133"/>
      <c r="R42" s="1"/>
      <c r="S42" s="103"/>
      <c r="T42" s="115"/>
      <c r="U42" s="209" t="s">
        <v>368</v>
      </c>
      <c r="V42" s="210" t="e">
        <f>$Y$49</f>
        <v>#DIV/0!</v>
      </c>
      <c r="W42" s="210">
        <v>0.01</v>
      </c>
      <c r="X42" s="211" t="e">
        <f>150%-SUM(V42:W42)</f>
        <v>#DIV/0!</v>
      </c>
      <c r="Y42" s="115"/>
      <c r="Z42" s="115"/>
      <c r="AA42" s="103"/>
      <c r="AB42" s="222"/>
      <c r="AC42" s="222"/>
      <c r="AD42" s="222"/>
      <c r="AE42" s="222"/>
    </row>
    <row r="43" spans="1:31" ht="15.75" x14ac:dyDescent="0.3">
      <c r="A43" s="1"/>
      <c r="B43" s="185" t="s">
        <v>8</v>
      </c>
      <c r="C43" s="186">
        <f>IFERROR(SUM(Income2_BudgetJan,Income2_BudgetFeb,Income2_BudgetMar,Income2_BudgetApr,Income2_BudgetMay,Income2_BudgetJun,Income2_BudgetJul,Income2_BudgetAug,Income2_BudgetSep,Income2_BudgetOct,Income2_BudgetNov,Income2_BudgetDec),"")</f>
        <v>0</v>
      </c>
      <c r="D43" s="186">
        <f>IFERROR(SUM(Income2_ActualJan,Income2_ActualFeb,Income2_ActualMar,Income2_ActualApr,Income2_ActualMay,Income2_ActualJun,Income2_ActualJul,Income2_ActualAug,Income2_ActualSep,Income2_ActualOct,Income2_ActualNov,Income2_ActualDec),"")</f>
        <v>0</v>
      </c>
      <c r="E43" s="187">
        <f t="shared" ref="E43:E49" si="1">(C43-D43)</f>
        <v>0</v>
      </c>
      <c r="F43" s="188"/>
      <c r="G43" s="189" t="s">
        <v>57</v>
      </c>
      <c r="H43" s="172">
        <f>IFERROR(SUM(Expense2_BudgetJan,Expense2_BudgetFeb,Expense2_BudgetMar,Expense2_BudgetApr,Expense2_BudgetMay,Expense2_BudgetJun,Expense2_BudgetJul,Expense2_BudgetAug,Expense2_BudgetSep,Expense2_BudgetOct,Expense2_BudgetNov,Expense2_BudgetDec),"")</f>
        <v>0</v>
      </c>
      <c r="I43" s="172">
        <f>IFERROR(SUM(Income2_ActualJan,Expense2_ActualFeb,Expense2_ActualMar,Expense2_ActualApr,Expense2_ActualMay,Expense2_ActualJun,Expense2_ActualJul,Expense2_ActualAug,Expense2_ActualSep,Expense2_ActualOct,Expense2_ActualNov,Expense2_ActualDec),"")</f>
        <v>0</v>
      </c>
      <c r="J43" s="190">
        <f t="shared" si="0"/>
        <v>0</v>
      </c>
      <c r="K43" s="188"/>
      <c r="L43" s="193">
        <f>IFERROR(Savings_Goal_1,"")</f>
        <v>0</v>
      </c>
      <c r="M43" s="194" t="str">
        <f>IFERROR(-Savings_Goal_MonthlySavings_Total_Value_Saving__1,"")</f>
        <v/>
      </c>
      <c r="N43" s="195" t="str">
        <f>IFERROR(Savings_Goal_MonthlySavings_AnnualSaving_1,"")</f>
        <v/>
      </c>
      <c r="O43" s="194" t="e">
        <f>(-Savings_Goal_MonthlySavings_Total_Value_Saving__1+Savings_Goal_MonthlySavings_Total_Value_Saving__1)</f>
        <v>#VALUE!</v>
      </c>
      <c r="P43" s="133"/>
      <c r="Q43" s="133"/>
      <c r="R43" s="1"/>
      <c r="S43" s="103"/>
      <c r="T43" s="115"/>
      <c r="U43" s="209"/>
      <c r="V43" s="209"/>
      <c r="W43" s="209"/>
      <c r="X43" s="209"/>
      <c r="Y43" s="115"/>
      <c r="Z43" s="115"/>
      <c r="AA43" s="103"/>
      <c r="AB43" s="222"/>
      <c r="AC43" s="222"/>
      <c r="AD43" s="222"/>
      <c r="AE43" s="222"/>
    </row>
    <row r="44" spans="1:31" ht="15.75" x14ac:dyDescent="0.3">
      <c r="A44" s="1"/>
      <c r="B44" s="189" t="s">
        <v>9</v>
      </c>
      <c r="C44" s="186">
        <f>IFERROR(SUM(Income3_BudgetJan,Income3_BudgetFeb,Income3_BudgetMar,Income3_BudgetApr,Income3_BudgetMay,Income3_BudgetJun,Income3_BudgetJul,Income3_BudgetAug,Income3_BudgetSep,Income3_BudgetOct,Income3_BudgetNov,Income3_BudgetDec),"")</f>
        <v>0</v>
      </c>
      <c r="D44" s="186">
        <f>IFERROR(SUM(Income3_ActualJan,Income3_ActualFeb,Income3_ActualMar,Income3_ActualApr,Income3_ActualMay,Income3_ActualJun,Income3_ActualJul,Income3_ActualAug,Income3_ActualSep,Income3_ActualOct,Income3_ActualNov,Income3_ActualDec),"")</f>
        <v>0</v>
      </c>
      <c r="E44" s="187">
        <f t="shared" si="1"/>
        <v>0</v>
      </c>
      <c r="F44" s="188"/>
      <c r="G44" s="189" t="s">
        <v>18</v>
      </c>
      <c r="H44" s="172">
        <f>IFERROR(SUM(Expense3_BudgetJan,Expense3_BudgetFeb,Expense3_BudgetMar,Expense3_BudgetApr,Expense3_BudgetMay,Expense3_BudgetJun,Expense3_BudgetJul,Expense3_BudgetAug,Expense3_BudgetSep,Expense3_BudgetOct,Expense3_BudgetNov,Expense3_BudgetDec),"")</f>
        <v>0</v>
      </c>
      <c r="I44" s="172">
        <f>IFERROR(SUM(Income3_ActualJan,Expense3_ActualFeb,Expense3_ActualMar,Expense3_ActualApr,Expense3_ActualMay,Expense3_ActualJun,Expense3_ActualJul,Expense3_ActualAug,Expense3_ActualSep,Expense3_ActualOct,Expense3_ActualNov,Expense3_ActualDec),"")</f>
        <v>0</v>
      </c>
      <c r="J44" s="190">
        <f t="shared" si="0"/>
        <v>0</v>
      </c>
      <c r="K44" s="188"/>
      <c r="L44" s="193">
        <f>IFERROR(Savings_Goal_2,"")</f>
        <v>0</v>
      </c>
      <c r="M44" s="194" t="str">
        <f>IFERROR(-Savings_Goal_MonthlySavings_Total_Value_Saving__2,"")</f>
        <v/>
      </c>
      <c r="N44" s="195" t="str">
        <f>Savings_Goal_MonthlySavings_AnnualSa2ving_</f>
        <v/>
      </c>
      <c r="O44" s="194" t="e">
        <f>(-Savings_Goal_MonthlySavings_Total_Value_Saving__2+Savings_Goal_MonthlySavings_Total_Value_Saving__2)</f>
        <v>#VALUE!</v>
      </c>
      <c r="P44" s="133"/>
      <c r="Q44" s="133"/>
      <c r="R44" s="1"/>
      <c r="S44" s="103"/>
      <c r="T44" s="115"/>
      <c r="U44" s="115" t="s">
        <v>373</v>
      </c>
      <c r="V44" s="115" t="s">
        <v>370</v>
      </c>
      <c r="W44" s="212">
        <v>0.35</v>
      </c>
      <c r="X44" s="209"/>
      <c r="Y44" s="115"/>
      <c r="Z44" s="115"/>
      <c r="AA44" s="103"/>
      <c r="AB44" s="222"/>
      <c r="AC44" s="222"/>
      <c r="AD44" s="222"/>
      <c r="AE44" s="222"/>
    </row>
    <row r="45" spans="1:31" ht="15.75" x14ac:dyDescent="0.3">
      <c r="A45" s="1"/>
      <c r="B45" s="189" t="s">
        <v>10</v>
      </c>
      <c r="C45" s="186">
        <f>IFERROR(SUM(Income4_BudgetJan,Income4_BudgetFeb,Income4_BudgetMar,Income4_BudgetApr,Income4_BudgetMay,Income4_BudgetJun,Income4_BudgetJul,Income4_BudgetAug,Income4_BudgetSep,Income4_BudgetOct,Income4_BudgetNov,Income4_BudgetDec),"")</f>
        <v>0</v>
      </c>
      <c r="D45" s="186">
        <f>IFERROR(SUM(Income4_ActualJan,Income4_ActualFeb,Income4_ActualMar,Income4_ActualApr,Income4_ActualMay,Income4_ActualJun,Income4_ActualJul,Income4_ActualAug,Income4_ActualSep,Income4_ActualOct,Income4_ActualNov,Income4_ActualDec),"")</f>
        <v>0</v>
      </c>
      <c r="E45" s="187">
        <f t="shared" si="1"/>
        <v>0</v>
      </c>
      <c r="F45" s="188"/>
      <c r="G45" s="189" t="s">
        <v>22</v>
      </c>
      <c r="H45" s="172">
        <f>IFERROR(SUM(Expense1_BudgetJan,Expense4_BudgetFeb,Expense4_BudgetMar,Expense4_BudgetApr,Expense4_BudgetMay,Expense4_BudgetJun,Expense4_BudgetJul,Expense4_BudgetAug,Expense4_BudgetSep,Expense4_BudgetOct,Expense4_BudgetNov,Expense4_BudgetDec),"")</f>
        <v>0</v>
      </c>
      <c r="I45" s="172">
        <f>IFERROR(SUM(Expense4_ActualJan,Expense4_ActualFeb,Expense4_ActualMar,Expense4_ActualApr,Expense4ActualMay,Expense4_ActualJun,Expense4_ActualJul,Expense4_ActualAug,Expense4_ActualSep,Expense4_ActualOct,Expense4_ActualNov,Expense4_ActualDec),"")</f>
        <v>0</v>
      </c>
      <c r="J45" s="190">
        <f t="shared" si="0"/>
        <v>0</v>
      </c>
      <c r="K45" s="188"/>
      <c r="L45" s="193">
        <f>IFERROR(Savings_Goal_3,"")</f>
        <v>0</v>
      </c>
      <c r="M45" s="194" t="str">
        <f>IFERROR(-Savings_Goal_MonthlySavings_Total_Value_Saving__3,"")</f>
        <v/>
      </c>
      <c r="N45" s="195" t="str">
        <f>Savings_Goal_MonthlySavings_AnnualSaving_3</f>
        <v/>
      </c>
      <c r="O45" s="194" t="e">
        <f>(-Savings_Goal_MonthlySavings_Total_Value_Saving__3+Savings_Goal_MonthlySavings_Total_Value_Saving__3)</f>
        <v>#VALUE!</v>
      </c>
      <c r="P45" s="133"/>
      <c r="Q45" s="133"/>
      <c r="R45" s="1"/>
      <c r="S45" s="103"/>
      <c r="T45" s="115"/>
      <c r="U45" s="115" t="s">
        <v>371</v>
      </c>
      <c r="V45" s="115" t="s">
        <v>372</v>
      </c>
      <c r="W45" s="212">
        <v>0.35</v>
      </c>
      <c r="X45" s="209"/>
      <c r="Y45" s="115"/>
      <c r="Z45" s="115"/>
      <c r="AA45" s="103"/>
      <c r="AB45" s="222"/>
      <c r="AC45" s="222"/>
      <c r="AD45" s="222"/>
      <c r="AE45" s="222"/>
    </row>
    <row r="46" spans="1:31" ht="15.75" x14ac:dyDescent="0.3">
      <c r="A46" s="1"/>
      <c r="B46" s="196" t="s">
        <v>11</v>
      </c>
      <c r="C46" s="186">
        <f>IFERROR(SUM(Income5_BudgetJan,Income5_BudgetFeb,Income5_BudgetMar,Income5_BudgetApr,Income5_BudgetMay,Income5_BudgetJun,Income5_BudgetJul,Income5_BudgetAug,Income5_BudgetSep,Income5_BudgetOct,Income5_BudgetNov,Income5_BudgetDec),"")</f>
        <v>0</v>
      </c>
      <c r="D46" s="186">
        <f>IFERROR(SUM(Income5_ActualJan,Income5_ActualFeb,Income5_ActualMar,Income5_ActualApr,Income5_ActualMay,Income5_ActualJun,Income5_ActualJul,Income5_ActualAug,Income5_ActualSep,Income5_ActualOct,Income5_ActualNov,Income5_ActualDec),"")</f>
        <v>0</v>
      </c>
      <c r="E46" s="187">
        <f t="shared" si="1"/>
        <v>0</v>
      </c>
      <c r="F46" s="188"/>
      <c r="G46" s="185" t="s">
        <v>377</v>
      </c>
      <c r="H46" s="172">
        <f>IFERROR(SUM(Expense5_BudgetJan,Expense5_BudgetFeb,Expense5_BudgetMar,Expense5_BudgetApr,Expense5_BudgetMay,Expense5_BudgetJun,Expense5_BudgetJul,Expense5_BudgetAug,Expense5_BudgetSep,Expense5_BudgetOct,Expense5_BudgetNov,Expense5_BudgetDec),"")</f>
        <v>0</v>
      </c>
      <c r="I46" s="172">
        <f>IFERROR(SUM(Income5_ActualJan,Expense5_ActualFeb,Expense5_ActualMar,Expense5_ActualApr,Expense5_ActualMay,Expense5_ActualJun,Expense5_ActualJul,Expense5_ActualAug,Expense5_ActualSep,Expense5_ActualOct,Expense5_ActualNov,Expense5_ActualDec),"")</f>
        <v>0</v>
      </c>
      <c r="J46" s="190">
        <f t="shared" si="0"/>
        <v>0</v>
      </c>
      <c r="K46" s="188"/>
      <c r="L46" s="193">
        <f>IFERROR(Savings_Goal_4,"")</f>
        <v>0</v>
      </c>
      <c r="M46" s="194" t="str">
        <f>IFERROR(-Savings_Goal_MonthlySavings_Total_Value_Saving__4,"")</f>
        <v/>
      </c>
      <c r="N46" s="195" t="str">
        <f>Savings_Goal_MonthlySavings_AnnualSaving_4</f>
        <v/>
      </c>
      <c r="O46" s="194" t="e">
        <f>(-Savings_Goal_MonthlySavings_Total_Value_Saving__1+Savings_Goal_MonthlySavings_Total_Value_Saving__1)</f>
        <v>#VALUE!</v>
      </c>
      <c r="P46" s="133"/>
      <c r="Q46" s="133"/>
      <c r="R46" s="1"/>
      <c r="S46" s="103"/>
      <c r="T46" s="115"/>
      <c r="U46" s="115" t="s">
        <v>369</v>
      </c>
      <c r="V46" s="115" t="s">
        <v>374</v>
      </c>
      <c r="W46" s="212">
        <v>0.3</v>
      </c>
      <c r="X46" s="209"/>
      <c r="Y46" s="115"/>
      <c r="Z46" s="115"/>
      <c r="AA46" s="103"/>
      <c r="AB46" s="222"/>
      <c r="AC46" s="222"/>
      <c r="AD46" s="222"/>
      <c r="AE46" s="222"/>
    </row>
    <row r="47" spans="1:31" ht="16.5" thickBot="1" x14ac:dyDescent="0.35">
      <c r="A47" s="1"/>
      <c r="B47" s="197" t="s">
        <v>12</v>
      </c>
      <c r="C47" s="186">
        <f>IFERROR(SUM(Income6_BudgetJan,Income6_BudgetFeb,Income6_BudgetMar,Income6_BudgetApr,Income6_BudgetMay,Income6_BudgetJun,Income6_BudgetJul,Income6_BudgetAug,Income6_BudgetSep,Income6_BudgetOct,Income6_BudgetNov,Income6_BudgetDec),"")</f>
        <v>0</v>
      </c>
      <c r="D47" s="186">
        <f>IFERROR(SUM(Income6_ActualJan,Income6_ActualFeb,Income6_ActualMar,Income6_ActualApr,Income6_ActualMay,Income6_ActualJun,Income6_ActualJul,Income6_ActualAug,Income6_ActualSep,Income6_ActualOct,Income6_ActualNov,Income6_ActualDec),"")</f>
        <v>0</v>
      </c>
      <c r="E47" s="187">
        <f t="shared" si="1"/>
        <v>0</v>
      </c>
      <c r="F47" s="188"/>
      <c r="G47" s="189" t="s">
        <v>380</v>
      </c>
      <c r="H47" s="172">
        <f>IFERROR(SUM(Expense6_BudgetJan,Feb!Expense6_BudgetFeb,Expense6_BudgetMar,Expense6_BudgetApr,Expense6_BudgetMay,Expense6_BudgetJun,Expense6_BudgetJul,Expense6_BudgetAug,Expense6_BudgetSep,Expense6_BudgetOct,Expense6_BudgetNov,Expense6_BudgetDec),"")</f>
        <v>0</v>
      </c>
      <c r="I47" s="172">
        <f>IFERROR(SUM(Expense6_ActualJan,Feb!Expense6_ActualFeb,Expense6_ActualMar,Expense6_ActualApr,Expense6ActualMay,Expense6_ActualJun,Expense6_ActualJul,Expense6_ActualAug,Expense6_ActualSep,Expense6_ActualOct,Expense6_ActualNov,Expense6_ActualDec),"")</f>
        <v>0</v>
      </c>
      <c r="J47" s="190">
        <f t="shared" si="0"/>
        <v>0</v>
      </c>
      <c r="K47" s="188"/>
      <c r="L47" s="198" t="s">
        <v>27</v>
      </c>
      <c r="M47" s="199" t="str">
        <f>IFERROR(SUM(Savings_Min_Annual),"")</f>
        <v/>
      </c>
      <c r="N47" s="199">
        <f>IFERROR(SUM(Savings_Investments_YEARLY),"")</f>
        <v>0</v>
      </c>
      <c r="O47" s="199">
        <f>IFERROR(SUM(Over_Under_Savings_YEARLY),"")</f>
        <v>0</v>
      </c>
      <c r="P47" s="133"/>
      <c r="Q47" s="133"/>
      <c r="R47" s="1"/>
      <c r="S47" s="103"/>
      <c r="T47" s="115"/>
      <c r="U47" s="115" t="s">
        <v>375</v>
      </c>
      <c r="V47" s="209"/>
      <c r="W47" s="212">
        <v>0.5</v>
      </c>
      <c r="X47" s="209"/>
      <c r="Y47" s="213">
        <f>SUM(Total_Expenses_YEARLY+Formal_Annual_Payment+Informal_Annual_Payment+Friends_family_Annual_Payment+Goals_Total_AnnualSavings+SavingsInvestments_Total_AnnualSavings)</f>
        <v>2400</v>
      </c>
      <c r="Z47" s="115"/>
      <c r="AA47" s="103"/>
      <c r="AB47" s="222"/>
      <c r="AC47" s="222"/>
      <c r="AD47" s="222"/>
      <c r="AE47" s="222"/>
    </row>
    <row r="48" spans="1:31" ht="15.75" x14ac:dyDescent="0.3">
      <c r="A48" s="1"/>
      <c r="B48" s="189" t="s">
        <v>13</v>
      </c>
      <c r="C48" s="186">
        <f>IFERROR(SUM(Income7_BudgetJan,Income7_BudgetFeb,Income7_BudgetMar,Income7_BudgetApr,Income7BudgetMay,Income7_BudgetJun,Income7_BudgetJul,Income7_BudgetAug,Income7_BudgetSep,Income7_BudgetNov,Income7_BudgetDec),"")</f>
        <v>0</v>
      </c>
      <c r="D48" s="186">
        <f>IFERROR(SUM(Income7_ActualJan,Income7_ActualFeb,Income7_ActualMar,Income7_ActualApr,Income7_ActualMay,Income7_ActualJun,Income7_ActualJul,Income7_ActualAug,Income7_ActualSep,Income7_ActualOct,Income7_ActualNov,Income7_ActualDec),"")</f>
        <v>0</v>
      </c>
      <c r="E48" s="187">
        <f t="shared" si="1"/>
        <v>0</v>
      </c>
      <c r="F48" s="188"/>
      <c r="G48" s="189" t="s">
        <v>19</v>
      </c>
      <c r="H48" s="172">
        <f>IFERROR(SUM(Expense7_BudgetJan,Feb!Expense7_BudgetFeb,Expense7_BudgetMar,Expense7_BudgetApr,Expense7_BudgetMay,Expense7_BudgetJun,Expense7_BudgetJul,Expense7_BudgetAug,Expense7_BudgetSep,Expense7_BudgetOct,Expense7_BudgetNov,Expense7_BudgetDec),"")</f>
        <v>0</v>
      </c>
      <c r="I48" s="172">
        <f>IFERROR(SUM(Expense7_ActualJan,Feb!Expense7_ActualFeb,Expense7_ActualMar,Expense7_ActualApr,Expense7_ActualMay,Expense7_ActualJun,Expense7_ActualJul,Expense7_ActualAug,Expense7_ActualSep,Expense7_ActualOct,Expense7_ActualNov,Expense7_ActualDec),"")</f>
        <v>0</v>
      </c>
      <c r="J48" s="190">
        <f t="shared" si="0"/>
        <v>0</v>
      </c>
      <c r="K48" s="188"/>
      <c r="L48" s="200">
        <f>Savings_Investments_1</f>
        <v>0</v>
      </c>
      <c r="M48" s="194" t="e">
        <f>-Savings_Investments_MonthlySavings_Total_Value_Saving__1</f>
        <v>#VALUE!</v>
      </c>
      <c r="N48" s="195">
        <f>Savings_Investments_TotalAmount_Saved_1</f>
        <v>0</v>
      </c>
      <c r="O48" s="194" t="str">
        <f>IFERROR(-Savings_Investments_MonthlySavings_Total_Value_Saving__1+Savings_Investments_TotalAmount_Saved_1,"")</f>
        <v/>
      </c>
      <c r="P48" s="133"/>
      <c r="Q48" s="133"/>
      <c r="R48" s="1"/>
      <c r="S48" s="103"/>
      <c r="T48" s="115"/>
      <c r="U48" s="209"/>
      <c r="V48" s="209"/>
      <c r="W48" s="209"/>
      <c r="X48" s="209"/>
      <c r="Y48" s="214">
        <f>(Total_Income_Actual_YEARLY-TOTAL_DEDUCTIONS_YEARLY)</f>
        <v>-2400</v>
      </c>
      <c r="Z48" s="115"/>
      <c r="AA48" s="103"/>
      <c r="AB48" s="222"/>
      <c r="AC48" s="222"/>
      <c r="AD48" s="222"/>
      <c r="AE48" s="222"/>
    </row>
    <row r="49" spans="1:31" ht="15.75" x14ac:dyDescent="0.3">
      <c r="A49" s="1"/>
      <c r="B49" s="189" t="s">
        <v>14</v>
      </c>
      <c r="C49" s="186">
        <f>IFERROR(SUM(Income8_BudgetJan,Income8_BudgetFeb,Income8_BudgetMar,Income8_BudgetApr,Income8_BudgetMay,Income8_BudgetJun,Income8_BudgetJul,Income8_BudgetAug,Income8_BudgetSep,Income8_BudgetOct,Income8_BudgetNov,Income8_BudgetDec),"")</f>
        <v>0</v>
      </c>
      <c r="D49" s="186">
        <f>IFERROR(SUM(Income8_ActualJan,Income8_ActualFeb,Income8_ActualMar,Income8_ActualApr,Income8_ActualMay,Income8_ActualJun,Income8_ActualJul,Income8_ActualAug,Income8_ActualSep,Income8_ActualOct,Income8_ActualNov,Income8_ActualDec),"")</f>
        <v>0</v>
      </c>
      <c r="E49" s="187">
        <f t="shared" si="1"/>
        <v>0</v>
      </c>
      <c r="F49" s="188"/>
      <c r="G49" s="185" t="s">
        <v>20</v>
      </c>
      <c r="H49" s="172">
        <f>IFERROR(SUM(Expense8_BudgetJan,Expense8_BudgetFeb8,Expense8_BudgetMar,Expense8_BudgetApr,Expense8_BudgetMay,Expense8_BudgetJun,Expense8_BudgetJul,Expense8_BudgetAug,Expense8_BudgetSep,Expense8_BudgetOct,Expense8_BudgetNov,Expense8_BudgetDec),"")</f>
        <v>0</v>
      </c>
      <c r="I49" s="172">
        <f>IFERROR(SUM(Expense8_ActualJan,Feb!Expense8_ActualFeb,Expense8_ActualMar,Expense8_ActualApr,Expense8_ActualMay,Expense8_ActualJun,Expense8_ActualJul,Expense8_ActualAug,Expense8_ActualSep,Expense8_ActualOct,Expense8_ActualNov,Expense8_ActualDec),"")</f>
        <v>0</v>
      </c>
      <c r="J49" s="190">
        <f t="shared" si="0"/>
        <v>0</v>
      </c>
      <c r="K49" s="188"/>
      <c r="L49" s="200">
        <f>Savings_Investments_2</f>
        <v>0</v>
      </c>
      <c r="M49" s="194" t="e">
        <f>-Savings_Investments_MonthlySavings_Total_Value_Saving__2</f>
        <v>#VALUE!</v>
      </c>
      <c r="N49" s="195">
        <f>Savings_Investments_TotalAmount_Saved_2</f>
        <v>0</v>
      </c>
      <c r="O49" s="194" t="str">
        <f>IFERROR(-Savings_Investments_MonthlySavings_Total_Value_Saving__2+Savings_Investments_TotalAmount_Saved_2,"")</f>
        <v/>
      </c>
      <c r="P49" s="133"/>
      <c r="Q49" s="133"/>
      <c r="R49" s="1"/>
      <c r="S49" s="103"/>
      <c r="T49" s="115"/>
      <c r="U49" s="209"/>
      <c r="V49" s="209"/>
      <c r="W49" s="209"/>
      <c r="X49" s="209"/>
      <c r="Y49" s="212" t="e">
        <f>(TOTAL_DEDUCTIONS_YEARLY/Total_Income_Actual_YEARLY)</f>
        <v>#DIV/0!</v>
      </c>
      <c r="Z49" s="115"/>
      <c r="AA49" s="103"/>
      <c r="AB49" s="222"/>
      <c r="AC49" s="222"/>
      <c r="AD49" s="222"/>
      <c r="AE49" s="222"/>
    </row>
    <row r="50" spans="1:31" ht="16.5" thickBot="1" x14ac:dyDescent="0.35">
      <c r="A50" s="1"/>
      <c r="B50" s="201" t="s">
        <v>28</v>
      </c>
      <c r="C50" s="202">
        <f>IFERROR(SUM(Budgeted_Income_YEARLY),"")</f>
        <v>0</v>
      </c>
      <c r="D50" s="203">
        <f>IFERROR(SUM(Actual_Income_YEARLY),"")</f>
        <v>0</v>
      </c>
      <c r="E50" s="202">
        <f>IFERROR(SUM(Over_under_income_YEARLY),"")</f>
        <v>0</v>
      </c>
      <c r="F50" s="188"/>
      <c r="G50" s="189" t="s">
        <v>17</v>
      </c>
      <c r="H50" s="172">
        <f>IFERROR(SUM(Expense9_BudgetJan,Expense9_BudgetFeb,Expense9_BudgetMar,Expense9_BudgetApr,Expense9_BudgetMay,Expense9_BudgetJun,Expense9_BudgetJul,Expense9_BudgetAug,Expense9_BudgetSep,Expense9_BudgetOct,Expense9_BudgetNov,Expense9_BudgetDec),"")</f>
        <v>0</v>
      </c>
      <c r="I50" s="172">
        <f>IFERROR(SUM(Expense9_ActualJan,Expense9_ActualFeb,Expense9_ActualMar,Expense9_ActualApr,Expense9_ActualMay,Expense9_ActualJun,Expense9_ActualJul,Expense9_ActualAug,Expense9_ActualSep,Expense9_ActualOct,Expense9_ActualNov,Expense9_ActualDec),"")</f>
        <v>0</v>
      </c>
      <c r="J50" s="190">
        <f t="shared" si="0"/>
        <v>0</v>
      </c>
      <c r="K50" s="188"/>
      <c r="L50" s="200">
        <f>Savings_Investments_3</f>
        <v>0</v>
      </c>
      <c r="M50" s="194" t="e">
        <f>-Savings_Investments_MonthlySavings_Total_Value_Saving__3</f>
        <v>#VALUE!</v>
      </c>
      <c r="N50" s="195">
        <f>Savings_Investments_TotalAmount_Saved_3</f>
        <v>0</v>
      </c>
      <c r="O50" s="194" t="str">
        <f>IFERROR(-Savings_Investments_MonthlySavings_Total_Value_Saving__3+Savings_Investments_TotalAmount_Saved_3,"")</f>
        <v/>
      </c>
      <c r="P50" s="133"/>
      <c r="Q50" s="133"/>
      <c r="R50" s="1"/>
      <c r="S50" s="103"/>
      <c r="T50" s="115"/>
      <c r="U50" s="215" t="s">
        <v>16</v>
      </c>
      <c r="V50" s="216" t="s">
        <v>4</v>
      </c>
      <c r="W50" s="216" t="s">
        <v>5</v>
      </c>
      <c r="X50" s="216" t="s">
        <v>6</v>
      </c>
      <c r="Y50" s="217" t="s">
        <v>376</v>
      </c>
      <c r="Z50" s="115"/>
      <c r="AA50" s="103"/>
      <c r="AB50" s="222"/>
      <c r="AC50" s="222"/>
      <c r="AD50" s="222"/>
      <c r="AE50" s="222"/>
    </row>
    <row r="51" spans="1:31" ht="15.75" x14ac:dyDescent="0.3">
      <c r="A51" s="1"/>
      <c r="B51" s="204"/>
      <c r="C51" s="204"/>
      <c r="D51" s="204"/>
      <c r="E51" s="204"/>
      <c r="F51" s="204"/>
      <c r="G51" s="205" t="s">
        <v>379</v>
      </c>
      <c r="H51" s="172">
        <f>IFERROR(SUM(Expense10_BudgetJan,[0]!Expense10_BudgetMar,Expense10_BudgetMar,Expense10_BudgetApr,Expense10_BudgetMay,Expense10_BudgetJun,Expense10_BudgetJul,Expense10_BudgetAug,Expense10_BudgetSep,Expense10_BudgetOct,Expense10_BudgetNov,Expense10_BudgetDec),"")</f>
        <v>0</v>
      </c>
      <c r="I51" s="172">
        <f>IFERROR(SUM(Expense10_ActualJan,Feb!Expense10_ActualFeb,Expense10_ActualMar,Expense10_ActualApr,Expense10_ActualMay,Expense10_ActualJun,Expense10_ActualJul,Expense10_ActualAug,Expense10_ActualSep,Expense10_ActualOct,Expense10_ActualNov,Expense10_ActualDec),"")</f>
        <v>0</v>
      </c>
      <c r="J51" s="190">
        <f t="shared" si="0"/>
        <v>0</v>
      </c>
      <c r="K51" s="188"/>
      <c r="L51" s="200">
        <f>Savings_Investments_4</f>
        <v>0</v>
      </c>
      <c r="M51" s="194" t="e">
        <f>-Savings_Investments_MonthlySavings_Total_Value_Saving__4</f>
        <v>#VALUE!</v>
      </c>
      <c r="N51" s="195">
        <f>Savings_Investments_TotalAmount_Saved_4</f>
        <v>0</v>
      </c>
      <c r="O51" s="194" t="str">
        <f>IFERROR(-Savings_Investments_MonthlySavings_Total_Value_Saving__4+Savings_Investments_TotalAmount_Saved_4,"")</f>
        <v/>
      </c>
      <c r="P51" s="133"/>
      <c r="Q51" s="133"/>
      <c r="R51" s="1"/>
      <c r="S51" s="103"/>
      <c r="T51" s="115"/>
      <c r="U51" s="218" t="str">
        <f>monthlyExpense_YEARLY9_Name</f>
        <v>Rental</v>
      </c>
      <c r="V51" s="219">
        <f>IFERROR(Expense9_BudgetYEARLY,"")</f>
        <v>0</v>
      </c>
      <c r="W51" s="219">
        <f>IFERROR(Expense9_ActualYEARLY,"")</f>
        <v>0</v>
      </c>
      <c r="X51" s="220">
        <f>MAX(Expense9_ActualYEARLY-Expense9_BudgetYEARLY,0)</f>
        <v>0</v>
      </c>
      <c r="Y51" s="214">
        <f>MAX(Expense9_BudgetYEARLY-Expense9_ActualYEARLY,0)</f>
        <v>0</v>
      </c>
      <c r="Z51" s="115"/>
      <c r="AA51" s="103"/>
      <c r="AB51" s="222"/>
      <c r="AC51" s="222"/>
      <c r="AD51" s="222"/>
      <c r="AE51" s="222"/>
    </row>
    <row r="52" spans="1:31" ht="15.75" x14ac:dyDescent="0.3">
      <c r="A52" s="1"/>
      <c r="B52" s="204"/>
      <c r="C52" s="204"/>
      <c r="D52" s="204"/>
      <c r="E52" s="204"/>
      <c r="F52" s="204"/>
      <c r="G52" s="189" t="s">
        <v>23</v>
      </c>
      <c r="H52" s="172">
        <f>IFERROR(SUM(Expense11_BudgetJan,Feb!Expense11_BudgetFeb,Expense11_BudgetMar,Expense11_BudgetApr,Expense11_BudgetMay,Expense11_BudgetJun,Expense11_BudgetJul,Expense11_BudgetAug,Expense11_BudgetSep,Expense11_BudgetOct,Expense11_BudgetNov,Expense11_BudgetDec),"")</f>
        <v>0</v>
      </c>
      <c r="I52" s="172">
        <f>IFERROR(SUM(Expense11_BudgetJan,Feb!Expense11_BudgetFeb,Expense11_BudgetMar,Expense11_BudgetApr,Expense11_BudgetMay,Expense11_BudgetJun,Expense11_BudgetJul,Expense11_BudgetAug,Expense11_BudgetSep,Expense11_BudgetOct,Expense11_BudgetNov,Expense11_BudgetDec),"")</f>
        <v>0</v>
      </c>
      <c r="J52" s="190">
        <f t="shared" si="0"/>
        <v>0</v>
      </c>
      <c r="K52" s="204"/>
      <c r="L52" s="204"/>
      <c r="M52" s="204"/>
      <c r="N52" s="204"/>
      <c r="O52" s="204"/>
      <c r="P52" s="133"/>
      <c r="Q52" s="133"/>
      <c r="R52" s="1"/>
      <c r="S52" s="103"/>
      <c r="T52" s="115"/>
      <c r="U52" s="218" t="str">
        <f>monthlyExpense_YEARLY4_Name</f>
        <v xml:space="preserve">Entertainment </v>
      </c>
      <c r="V52" s="219">
        <f>IFERROR(Expense4_BudgetYEARLY,"")</f>
        <v>0</v>
      </c>
      <c r="W52" s="219">
        <f>IFERROR(Expense4_ActualYEARLY,"")</f>
        <v>0</v>
      </c>
      <c r="X52" s="220">
        <f>MAX(Expense4_ActualYEARLY-Expense4_BudgetYEARLY,0)</f>
        <v>0</v>
      </c>
      <c r="Y52" s="214">
        <f>MAX(Expense4_BudgetYEARLY-Expense4_ActualYEARLY,0)</f>
        <v>0</v>
      </c>
      <c r="Z52" s="115"/>
      <c r="AA52" s="103"/>
      <c r="AB52" s="222"/>
      <c r="AC52" s="222"/>
      <c r="AD52" s="222"/>
      <c r="AE52" s="222"/>
    </row>
    <row r="53" spans="1:31" ht="16.5" thickBot="1" x14ac:dyDescent="0.35">
      <c r="A53" s="1"/>
      <c r="B53" s="204"/>
      <c r="C53" s="204"/>
      <c r="D53" s="204"/>
      <c r="E53" s="204"/>
      <c r="F53" s="204"/>
      <c r="G53" s="206" t="s">
        <v>28</v>
      </c>
      <c r="H53" s="207">
        <f>SUM(Budgeted_Expenses_YEARLY)</f>
        <v>0</v>
      </c>
      <c r="I53" s="208">
        <f>SUM(Actual_Expenses_YEARLY)</f>
        <v>0</v>
      </c>
      <c r="J53" s="202">
        <f>SUM(Over_under_expenses_YEARLY)</f>
        <v>0</v>
      </c>
      <c r="K53" s="204"/>
      <c r="L53" s="204"/>
      <c r="M53" s="204"/>
      <c r="N53" s="204"/>
      <c r="O53" s="204"/>
      <c r="P53" s="133"/>
      <c r="Q53" s="133"/>
      <c r="R53" s="1"/>
      <c r="S53" s="103"/>
      <c r="T53" s="115"/>
      <c r="U53" s="218" t="str">
        <f>monthlyExpense_YEARLY5_Name</f>
        <v>Black Tax</v>
      </c>
      <c r="V53" s="219">
        <f>IFERROR(Expense5_BudgetYEARLY,"")</f>
        <v>0</v>
      </c>
      <c r="W53" s="219">
        <f>IFERROR(Expense5_ActualYEARLY,"")</f>
        <v>0</v>
      </c>
      <c r="X53" s="220">
        <f>MAX(Expense5_ActualYEARLY-Expense5_BudgetYEARLY,0)</f>
        <v>0</v>
      </c>
      <c r="Y53" s="214">
        <f>MAX(Expense5_BudgetYEARLY-Expense5_ActualYEARLY,0)</f>
        <v>0</v>
      </c>
      <c r="Z53" s="115"/>
      <c r="AA53" s="103"/>
      <c r="AB53" s="222"/>
      <c r="AC53" s="222"/>
      <c r="AD53" s="222"/>
      <c r="AE53" s="222"/>
    </row>
    <row r="54" spans="1:31" ht="15.75" x14ac:dyDescent="0.3">
      <c r="A54" s="1"/>
      <c r="B54" s="204"/>
      <c r="C54" s="204"/>
      <c r="D54" s="204"/>
      <c r="E54" s="204"/>
      <c r="F54" s="204"/>
      <c r="G54" s="204"/>
      <c r="H54" s="204"/>
      <c r="I54" s="204"/>
      <c r="J54" s="204"/>
      <c r="K54" s="204"/>
      <c r="L54" s="204"/>
      <c r="M54" s="204"/>
      <c r="N54" s="204"/>
      <c r="O54" s="204"/>
      <c r="P54" s="133"/>
      <c r="Q54" s="133"/>
      <c r="R54" s="1"/>
      <c r="S54" s="103"/>
      <c r="T54" s="115"/>
      <c r="U54" s="218" t="str">
        <f>monthlyExpense_YEARLY1_Name</f>
        <v>Airtime/Data</v>
      </c>
      <c r="V54" s="219">
        <f>IFERROR(Expense1_BudgetYEARLY,"")</f>
        <v>0</v>
      </c>
      <c r="W54" s="219">
        <f>IFERROR(Expense1_ActualYEARLY,"")</f>
        <v>0</v>
      </c>
      <c r="X54" s="220">
        <f>MAX(Expense1_ActualYEARLY-Expense1_BudgetYEARLY,0)</f>
        <v>0</v>
      </c>
      <c r="Y54" s="214">
        <f>MAX(Expense1_BudgetYEARLY-Expense1_ActualYEARLY,0)</f>
        <v>0</v>
      </c>
      <c r="Z54" s="115"/>
      <c r="AA54" s="103"/>
      <c r="AB54" s="222"/>
      <c r="AC54" s="222"/>
      <c r="AD54" s="222"/>
      <c r="AE54" s="222"/>
    </row>
    <row r="55" spans="1:31" ht="15.75" x14ac:dyDescent="0.3">
      <c r="A55" s="1"/>
      <c r="B55" s="133"/>
      <c r="C55" s="133"/>
      <c r="D55" s="133"/>
      <c r="E55" s="133"/>
      <c r="F55" s="133"/>
      <c r="G55" s="133"/>
      <c r="H55" s="133"/>
      <c r="I55" s="133"/>
      <c r="J55" s="133"/>
      <c r="K55" s="133"/>
      <c r="L55" s="133"/>
      <c r="M55" s="133"/>
      <c r="N55" s="133"/>
      <c r="O55" s="133"/>
      <c r="P55" s="133"/>
      <c r="Q55" s="133"/>
      <c r="R55" s="1"/>
      <c r="S55" s="103"/>
      <c r="T55" s="115"/>
      <c r="U55" s="218" t="str">
        <f>monthlyExpense_YEARLY2_Name</f>
        <v>Bank charges</v>
      </c>
      <c r="V55" s="219">
        <f>IFERROR(Expense2_BudgetYEARLY,"")</f>
        <v>0</v>
      </c>
      <c r="W55" s="219">
        <f>IFERROR(Expense2_ActualYEARLY,"")</f>
        <v>0</v>
      </c>
      <c r="X55" s="220">
        <f>MAX(Expense2_ActualYEARLY-Expense2_BudgetYEARLY,0)</f>
        <v>0</v>
      </c>
      <c r="Y55" s="214">
        <f>MAX(Expense2_BudgetYEARLY-Expense2_ActualYEARLY,0)</f>
        <v>0</v>
      </c>
      <c r="Z55" s="115"/>
      <c r="AA55" s="103"/>
      <c r="AB55" s="222"/>
      <c r="AC55" s="222"/>
      <c r="AD55" s="222"/>
      <c r="AE55" s="222"/>
    </row>
    <row r="56" spans="1:31" ht="15.75" x14ac:dyDescent="0.3">
      <c r="A56" s="1"/>
      <c r="B56" s="133"/>
      <c r="C56" s="133"/>
      <c r="D56" s="133"/>
      <c r="E56" s="133"/>
      <c r="F56" s="133"/>
      <c r="G56" s="133"/>
      <c r="H56" s="133"/>
      <c r="I56" s="133"/>
      <c r="J56" s="133"/>
      <c r="K56" s="133"/>
      <c r="L56" s="133"/>
      <c r="M56" s="133"/>
      <c r="N56" s="133"/>
      <c r="O56" s="133"/>
      <c r="P56" s="133"/>
      <c r="Q56" s="133"/>
      <c r="R56" s="1"/>
      <c r="S56" s="103"/>
      <c r="T56" s="115"/>
      <c r="U56" s="218" t="str">
        <f>monthlyExpense_YEARLY3_Name</f>
        <v>Clothes</v>
      </c>
      <c r="V56" s="219">
        <f>IFERROR(Expense3_BudgetYEARLY,"")</f>
        <v>0</v>
      </c>
      <c r="W56" s="219">
        <f>IFERROR(Expense3_ActualYEARLY,"")</f>
        <v>0</v>
      </c>
      <c r="X56" s="220">
        <f>MAX(Expense3_ActualYEARLY-Expense3_BudgetYEARLY,0)</f>
        <v>0</v>
      </c>
      <c r="Y56" s="214">
        <f>MAX(Expense3_BudgetYEARLY-Expense3_ActualYEARLY,0)</f>
        <v>0</v>
      </c>
      <c r="Z56" s="115"/>
      <c r="AA56" s="103"/>
      <c r="AB56" s="222"/>
      <c r="AC56" s="222"/>
      <c r="AD56" s="222"/>
      <c r="AE56" s="222"/>
    </row>
    <row r="57" spans="1:31" ht="15.75" x14ac:dyDescent="0.3">
      <c r="A57" s="1"/>
      <c r="B57" s="134" t="s">
        <v>383</v>
      </c>
      <c r="C57" s="1"/>
      <c r="D57" s="1"/>
      <c r="E57" s="1"/>
      <c r="F57" s="1"/>
      <c r="G57" s="1"/>
      <c r="H57" s="1"/>
      <c r="I57" s="1"/>
      <c r="J57" s="1"/>
      <c r="K57" s="1"/>
      <c r="L57" s="1"/>
      <c r="M57" s="1"/>
      <c r="N57" s="1"/>
      <c r="O57" s="1"/>
      <c r="P57" s="1"/>
      <c r="Q57" s="1"/>
      <c r="R57" s="1"/>
      <c r="S57" s="103"/>
      <c r="T57" s="115"/>
      <c r="U57" s="218" t="str">
        <f>monthlyExpense_YEARLY6_Name</f>
        <v>Groceries</v>
      </c>
      <c r="V57" s="219">
        <f>IFERROR(Expense6_BudgetYEARLY,"")</f>
        <v>0</v>
      </c>
      <c r="W57" s="219">
        <f>IFERROR(Expense6_ActualYEARLY,"")</f>
        <v>0</v>
      </c>
      <c r="X57" s="220">
        <f>MAX(Expense6_ActualYEARLY-Expense6_BudgetYEARLY,0)</f>
        <v>0</v>
      </c>
      <c r="Y57" s="214">
        <f>MAX(Expense6_BudgetYEARLY-Expense6_ActualYEARLY,0)</f>
        <v>0</v>
      </c>
      <c r="Z57" s="115"/>
      <c r="AA57" s="103"/>
      <c r="AB57" s="222"/>
      <c r="AC57" s="222"/>
      <c r="AD57" s="222"/>
      <c r="AE57" s="222"/>
    </row>
    <row r="58" spans="1:31" x14ac:dyDescent="0.3">
      <c r="S58" s="103"/>
      <c r="T58" s="115"/>
      <c r="U58" s="218" t="str">
        <f>monthlyExpense_YEARLY7_Name</f>
        <v>Hair</v>
      </c>
      <c r="V58" s="219">
        <f>IFERROR(Expense7_BudgetYEARLY,"")</f>
        <v>0</v>
      </c>
      <c r="W58" s="219">
        <f>IFERROR(Expense7_ActualYEARLY,"")</f>
        <v>0</v>
      </c>
      <c r="X58" s="220">
        <f>MAX(Expense7_ActualYEARLY-Expense7_BudgetYEARLY,0)</f>
        <v>0</v>
      </c>
      <c r="Y58" s="214">
        <f>MAX(Expense7_BudgetYEARLY-Expense7_ActualYEARLY,0)</f>
        <v>0</v>
      </c>
      <c r="Z58" s="115"/>
      <c r="AA58" s="103"/>
      <c r="AB58" s="222"/>
      <c r="AC58" s="222"/>
      <c r="AD58" s="222"/>
      <c r="AE58" s="222"/>
    </row>
    <row r="59" spans="1:31" x14ac:dyDescent="0.3">
      <c r="S59" s="103"/>
      <c r="T59" s="115"/>
      <c r="U59" s="218" t="str">
        <f>monthlyExpense_YEARLY8_Name</f>
        <v>Transport</v>
      </c>
      <c r="V59" s="219">
        <f>IFERROR(Expense8_BudgetYEARLY,"")</f>
        <v>0</v>
      </c>
      <c r="W59" s="219">
        <f>IFERROR(Expense8_ActualYEARLY,"")</f>
        <v>0</v>
      </c>
      <c r="X59" s="220">
        <f>MAX(Expense8_ActualYEARLY-Expense8_BudgetYEARLY,0)</f>
        <v>0</v>
      </c>
      <c r="Y59" s="214">
        <f>MAX(Expense8_BudgetYEARLY-Expense8_ActualYEARLY,0)</f>
        <v>0</v>
      </c>
      <c r="Z59" s="115"/>
      <c r="AA59" s="103"/>
      <c r="AB59" s="222"/>
      <c r="AC59" s="222"/>
      <c r="AD59" s="222"/>
      <c r="AE59" s="222"/>
    </row>
    <row r="60" spans="1:31" x14ac:dyDescent="0.3">
      <c r="S60" s="103"/>
      <c r="T60" s="115"/>
      <c r="U60" s="218" t="str">
        <f>monthlyExpense_YEARLY10_Name</f>
        <v xml:space="preserve">Stationery </v>
      </c>
      <c r="V60" s="219">
        <f>IFERROR(Expense10_BudgetYEARLY,"")</f>
        <v>0</v>
      </c>
      <c r="W60" s="219">
        <f>IFERROR(Expense10_ActualYEARLY,"")</f>
        <v>0</v>
      </c>
      <c r="X60" s="220">
        <f>MAX(Expense10_ActualYEARLY-Expense10_BudgetYEARLY,0)</f>
        <v>0</v>
      </c>
      <c r="Y60" s="214">
        <f>MAX(Expense10_BudgetYEARLY-Expense10_ActualYEARLY,0)</f>
        <v>0</v>
      </c>
      <c r="Z60" s="115"/>
      <c r="AA60" s="103"/>
      <c r="AB60" s="222"/>
      <c r="AC60" s="222"/>
      <c r="AD60" s="222"/>
      <c r="AE60" s="222"/>
    </row>
    <row r="61" spans="1:31" x14ac:dyDescent="0.3">
      <c r="S61" s="103"/>
      <c r="T61" s="115"/>
      <c r="U61" s="218" t="str">
        <f>monthlyExpense_YEARLY11_Name</f>
        <v xml:space="preserve">Other </v>
      </c>
      <c r="V61" s="219">
        <f>IFERROR(Expense11_BudgetYEARLY,"")</f>
        <v>0</v>
      </c>
      <c r="W61" s="219">
        <f>IFERROR(Expense11_ActualYEARLY,"")</f>
        <v>0</v>
      </c>
      <c r="X61" s="220">
        <f>MAX(Expense11_ActualYEARLY-Expense11_BudgetYEARLY,0)</f>
        <v>0</v>
      </c>
      <c r="Y61" s="214">
        <f>MAX(Expense11_BudgetYEARLY-Expense11_ActualYEARLY,0)</f>
        <v>0</v>
      </c>
      <c r="Z61" s="115"/>
      <c r="AA61" s="103"/>
      <c r="AB61" s="222"/>
      <c r="AC61" s="222"/>
      <c r="AD61" s="222"/>
      <c r="AE61" s="222"/>
    </row>
    <row r="62" spans="1:31" x14ac:dyDescent="0.3">
      <c r="S62" s="103"/>
      <c r="T62" s="115"/>
      <c r="U62" s="103"/>
      <c r="V62" s="103"/>
      <c r="W62" s="103"/>
      <c r="X62" s="103"/>
      <c r="Y62" s="103"/>
      <c r="Z62" s="115"/>
      <c r="AA62" s="103"/>
      <c r="AB62" s="222"/>
      <c r="AC62" s="222"/>
      <c r="AD62" s="222"/>
      <c r="AE62" s="222"/>
    </row>
    <row r="63" spans="1:31" x14ac:dyDescent="0.3">
      <c r="S63" s="103"/>
      <c r="T63" s="115"/>
      <c r="U63" s="103" t="s">
        <v>382</v>
      </c>
      <c r="V63" s="103"/>
      <c r="W63" s="103"/>
      <c r="X63" s="103"/>
      <c r="Y63" s="103"/>
      <c r="Z63" s="115"/>
      <c r="AA63" s="103"/>
      <c r="AB63" s="222"/>
      <c r="AC63" s="222"/>
      <c r="AD63" s="222"/>
      <c r="AE63" s="222"/>
    </row>
    <row r="64" spans="1:31" x14ac:dyDescent="0.3">
      <c r="S64" s="103"/>
      <c r="T64" s="115"/>
      <c r="U64" s="221">
        <f>SUM(SUM(Formal_Dec_SubTotal+Informal_Dec_SubTotal+Friends_family_Dec_SubTotal)+(Formal_Nov_SubTotal+Informal_Nov_SubTotal+Friends_family_Nov_SubTotal)+(Formal_Oct_SubTotal+Informal_Oct_SubTotal+Friends_family_Oct_SubTotal)+(Formal_Sep_SubTotal+Informal_Sep_SubTotal+Friends_family_Sep_SubTotal)+(Formal_Aug_SubTotal+Informal_Aug_SubTotal+Friends_family_Aug_SubTotal)+(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c r="AA64" s="103"/>
      <c r="AB64" s="222"/>
      <c r="AC64" s="222"/>
      <c r="AD64" s="222"/>
      <c r="AE64" s="222"/>
    </row>
    <row r="65" spans="12:31" x14ac:dyDescent="0.3">
      <c r="S65" s="103"/>
      <c r="T65" s="115"/>
      <c r="U65" s="103"/>
      <c r="V65" s="103"/>
      <c r="W65" s="103"/>
      <c r="X65" s="103"/>
      <c r="Y65" s="103"/>
      <c r="Z65" s="115"/>
      <c r="AA65" s="103"/>
      <c r="AB65" s="222"/>
      <c r="AC65" s="222"/>
      <c r="AD65" s="222"/>
      <c r="AE65" s="222"/>
    </row>
    <row r="66" spans="12:31" x14ac:dyDescent="0.3">
      <c r="S66" s="103"/>
      <c r="T66" s="115"/>
      <c r="U66" s="103"/>
      <c r="V66" s="103"/>
      <c r="W66" s="103"/>
      <c r="X66" s="103"/>
      <c r="Y66" s="103"/>
      <c r="Z66" s="115"/>
      <c r="AA66" s="103"/>
      <c r="AB66" s="222"/>
      <c r="AC66" s="222"/>
      <c r="AD66" s="222"/>
      <c r="AE66" s="222"/>
    </row>
    <row r="67" spans="12:31" x14ac:dyDescent="0.3">
      <c r="T67" s="116"/>
      <c r="U67" s="222"/>
      <c r="V67" s="222"/>
      <c r="W67" s="222"/>
      <c r="X67" s="222"/>
      <c r="Y67" s="222"/>
      <c r="Z67" s="116"/>
      <c r="AA67" s="222"/>
      <c r="AB67" s="222"/>
      <c r="AC67" s="222"/>
      <c r="AD67" s="222"/>
      <c r="AE67" s="222"/>
    </row>
    <row r="68" spans="12:31" x14ac:dyDescent="0.3">
      <c r="L68" s="118"/>
      <c r="T68" s="116"/>
      <c r="U68" s="222"/>
      <c r="V68" s="222"/>
      <c r="W68" s="222"/>
      <c r="X68" s="222"/>
      <c r="Y68" s="222"/>
      <c r="Z68" s="116"/>
      <c r="AA68" s="222"/>
      <c r="AB68" s="222"/>
      <c r="AC68" s="222"/>
      <c r="AD68" s="222"/>
      <c r="AE68" s="222"/>
    </row>
    <row r="69" spans="12:31" x14ac:dyDescent="0.3">
      <c r="T69" s="116"/>
      <c r="Z69" s="116"/>
    </row>
    <row r="70" spans="12:31"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ignoredErrors>
    <ignoredError sqref="C42:C49 D42:D49 H42:H52 I42:I45" unlockedFormula="1"/>
  </ignoredError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F49"/>
  <sheetViews>
    <sheetView topLeftCell="A8" workbookViewId="0">
      <selection activeCell="C44" sqref="C44"/>
    </sheetView>
  </sheetViews>
  <sheetFormatPr defaultRowHeight="14.25" x14ac:dyDescent="0.3"/>
  <cols>
    <col min="1" max="1" width="8.28515625" customWidth="1"/>
    <col min="2" max="2" width="32" customWidth="1"/>
    <col min="3" max="3" width="13.140625" bestFit="1" customWidth="1"/>
    <col min="6" max="6" width="9.140625" customWidth="1"/>
    <col min="7" max="7" width="11.7109375" bestFit="1" customWidth="1"/>
    <col min="8" max="8" width="11.140625" bestFit="1" customWidth="1"/>
    <col min="9" max="9" width="11.140625" customWidth="1"/>
    <col min="10" max="10" width="11" customWidth="1"/>
    <col min="11" max="11" width="10.85546875" customWidth="1"/>
    <col min="12" max="12" width="11.42578125" customWidth="1"/>
    <col min="13" max="13" width="11.140625" customWidth="1"/>
    <col min="14" max="16" width="11.28515625" customWidth="1"/>
    <col min="17" max="17" width="11.140625" bestFit="1" customWidth="1"/>
    <col min="18" max="18" width="11" customWidth="1"/>
    <col min="19" max="19" width="11.42578125" customWidth="1"/>
    <col min="20" max="20" width="8.28515625" bestFit="1" customWidth="1"/>
    <col min="21" max="21" width="12.28515625" bestFit="1" customWidth="1"/>
    <col min="22" max="22" width="11.85546875" bestFit="1" customWidth="1"/>
    <col min="23" max="23" width="11.140625" bestFit="1" customWidth="1"/>
    <col min="24" max="24" width="12.7109375" bestFit="1" customWidth="1"/>
    <col min="25" max="25" width="13.85546875" customWidth="1"/>
    <col min="28" max="28" width="11.140625" bestFit="1" customWidth="1"/>
    <col min="29" max="29" width="16.85546875" customWidth="1"/>
    <col min="30" max="30" width="7.85546875" bestFit="1" customWidth="1"/>
    <col min="31" max="31" width="14.42578125" bestFit="1" customWidth="1"/>
  </cols>
  <sheetData>
    <row r="1" spans="1:26" ht="15.75" x14ac:dyDescent="0.3">
      <c r="A1" s="1"/>
      <c r="B1" s="1"/>
      <c r="C1" s="1"/>
      <c r="D1" s="1"/>
      <c r="E1" s="1"/>
      <c r="F1" s="1"/>
      <c r="G1" s="1"/>
      <c r="H1" s="1"/>
      <c r="I1" s="1"/>
      <c r="J1" s="1"/>
      <c r="K1" s="1"/>
      <c r="L1" s="1"/>
      <c r="M1" s="1"/>
      <c r="N1" s="1"/>
      <c r="O1" s="1"/>
      <c r="P1" s="1"/>
      <c r="Q1" s="1"/>
      <c r="R1" s="1"/>
      <c r="S1" s="1"/>
      <c r="T1" s="1"/>
      <c r="U1" s="1"/>
      <c r="V1" s="1"/>
      <c r="W1" s="1"/>
      <c r="X1" s="1"/>
      <c r="Y1" s="1"/>
      <c r="Z1" s="1"/>
    </row>
    <row r="2" spans="1:26" ht="15.75" x14ac:dyDescent="0.3">
      <c r="A2" s="1"/>
      <c r="B2" s="1"/>
      <c r="C2" s="1"/>
      <c r="D2" s="1"/>
      <c r="E2" s="1"/>
      <c r="F2" s="1"/>
      <c r="G2" s="1"/>
      <c r="H2" s="1"/>
      <c r="I2" s="1"/>
      <c r="J2" s="1"/>
      <c r="K2" s="1"/>
      <c r="L2" s="1"/>
      <c r="M2" s="1"/>
      <c r="N2" s="1"/>
      <c r="O2" s="1"/>
      <c r="P2" s="1"/>
      <c r="Q2" s="1"/>
      <c r="R2" s="1"/>
      <c r="S2" s="1"/>
      <c r="T2" s="1"/>
      <c r="U2" s="1"/>
      <c r="V2" s="1"/>
      <c r="W2" s="1"/>
      <c r="X2" s="1"/>
      <c r="Y2" s="1"/>
      <c r="Z2" s="1"/>
    </row>
    <row r="3" spans="1:26" ht="15.75" x14ac:dyDescent="0.3">
      <c r="A3" s="1"/>
      <c r="B3" s="2"/>
      <c r="C3" s="2"/>
      <c r="D3" s="2"/>
      <c r="E3" s="2"/>
      <c r="F3" s="2"/>
      <c r="G3" s="2"/>
      <c r="H3" s="2"/>
      <c r="I3" s="2"/>
      <c r="J3" s="2"/>
      <c r="K3" s="2"/>
      <c r="L3" s="2"/>
      <c r="M3" s="2"/>
      <c r="N3" s="2"/>
      <c r="O3" s="2"/>
      <c r="P3" s="2"/>
      <c r="Q3" s="2"/>
      <c r="R3" s="2"/>
      <c r="S3" s="2"/>
      <c r="T3" s="2"/>
      <c r="U3" s="2"/>
      <c r="V3" s="2"/>
      <c r="W3" s="2"/>
      <c r="X3" s="2"/>
      <c r="Y3" s="2"/>
      <c r="Z3" s="1"/>
    </row>
    <row r="4" spans="1:26" ht="15.75" x14ac:dyDescent="0.3">
      <c r="A4" s="1"/>
      <c r="B4" s="2"/>
      <c r="C4" s="2"/>
      <c r="D4" s="2"/>
      <c r="E4" s="2"/>
      <c r="F4" s="2"/>
      <c r="G4" s="2"/>
      <c r="H4" s="2"/>
      <c r="I4" s="2"/>
      <c r="J4" s="2"/>
      <c r="K4" s="2"/>
      <c r="L4" s="2"/>
      <c r="M4" s="2"/>
      <c r="N4" s="2"/>
      <c r="O4" s="2"/>
      <c r="P4" s="2"/>
      <c r="Q4" s="2"/>
      <c r="R4" s="2"/>
      <c r="S4" s="2"/>
      <c r="T4" s="2"/>
      <c r="U4" s="2"/>
      <c r="V4" s="2"/>
      <c r="W4" s="2"/>
      <c r="X4" s="2"/>
      <c r="Y4" s="2"/>
      <c r="Z4" s="1"/>
    </row>
    <row r="5" spans="1:26" ht="15.75" x14ac:dyDescent="0.3">
      <c r="A5" s="1"/>
      <c r="B5" s="2"/>
      <c r="C5" s="2"/>
      <c r="D5" s="2"/>
      <c r="E5" s="2"/>
      <c r="F5" s="2"/>
      <c r="G5" s="2"/>
      <c r="H5" s="2"/>
      <c r="I5" s="2"/>
      <c r="J5" s="2"/>
      <c r="K5" s="2"/>
      <c r="L5" s="2"/>
      <c r="M5" s="2"/>
      <c r="N5" s="2"/>
      <c r="O5" s="2"/>
      <c r="P5" s="2"/>
      <c r="Q5" s="2"/>
      <c r="R5" s="2"/>
      <c r="S5" s="2"/>
      <c r="T5" s="2"/>
      <c r="U5" s="2"/>
      <c r="V5" s="2"/>
      <c r="W5" s="2"/>
      <c r="X5" s="2"/>
      <c r="Y5" s="2"/>
      <c r="Z5" s="1"/>
    </row>
    <row r="6" spans="1:26" ht="15.75" x14ac:dyDescent="0.3">
      <c r="A6" s="1"/>
      <c r="B6" s="2"/>
      <c r="C6" s="2"/>
      <c r="D6" s="2"/>
      <c r="E6" s="2"/>
      <c r="F6" s="2"/>
      <c r="G6" s="2"/>
      <c r="H6" s="2"/>
      <c r="I6" s="2"/>
      <c r="J6" s="2"/>
      <c r="K6" s="2"/>
      <c r="L6" s="2"/>
      <c r="M6" s="2"/>
      <c r="N6" s="2"/>
      <c r="O6" s="2"/>
      <c r="P6" s="2"/>
      <c r="Q6" s="2"/>
      <c r="R6" s="2"/>
      <c r="S6" s="2"/>
      <c r="T6" s="2"/>
      <c r="U6" s="2"/>
      <c r="V6" s="2"/>
      <c r="W6" s="2"/>
      <c r="X6" s="2"/>
      <c r="Y6" s="2"/>
      <c r="Z6" s="1"/>
    </row>
    <row r="7" spans="1:26" ht="15.75" x14ac:dyDescent="0.3">
      <c r="A7" s="1"/>
      <c r="B7" s="2"/>
      <c r="C7" s="2"/>
      <c r="D7" s="2"/>
      <c r="E7" s="2"/>
      <c r="F7" s="2"/>
      <c r="G7" s="2"/>
      <c r="H7" s="2"/>
      <c r="I7" s="2"/>
      <c r="J7" s="2"/>
      <c r="K7" s="2"/>
      <c r="L7" s="2"/>
      <c r="M7" s="2"/>
      <c r="N7" s="2"/>
      <c r="O7" s="2"/>
      <c r="P7" s="2"/>
      <c r="Q7" s="2"/>
      <c r="R7" s="2"/>
      <c r="S7" s="2"/>
      <c r="T7" s="2"/>
      <c r="U7" s="2"/>
      <c r="V7" s="2"/>
      <c r="W7" s="2"/>
      <c r="X7" s="2"/>
      <c r="Y7" s="2"/>
      <c r="Z7" s="1"/>
    </row>
    <row r="8" spans="1:26" ht="15.75" x14ac:dyDescent="0.3">
      <c r="A8" s="1"/>
      <c r="B8" s="3" t="s">
        <v>0</v>
      </c>
      <c r="C8" s="4"/>
      <c r="D8" s="4"/>
      <c r="E8" s="4"/>
      <c r="F8" s="4"/>
      <c r="G8" s="4"/>
      <c r="H8" s="4"/>
      <c r="I8" s="4"/>
      <c r="J8" s="2"/>
      <c r="K8" s="2"/>
      <c r="L8" s="2"/>
      <c r="M8" s="2"/>
      <c r="N8" s="2"/>
      <c r="O8" s="2"/>
      <c r="P8" s="2"/>
      <c r="Q8" s="2"/>
      <c r="R8" s="2"/>
      <c r="S8" s="2"/>
      <c r="T8" s="2"/>
      <c r="U8" s="2"/>
      <c r="V8" s="2"/>
      <c r="W8" s="2"/>
      <c r="X8" s="2"/>
      <c r="Y8" s="2"/>
      <c r="Z8" s="1"/>
    </row>
    <row r="9" spans="1:26" ht="15.75" x14ac:dyDescent="0.3">
      <c r="A9" s="1"/>
      <c r="B9" s="5"/>
      <c r="C9" s="5"/>
      <c r="D9" s="5"/>
      <c r="E9" s="5"/>
      <c r="F9" s="5"/>
      <c r="G9" s="5"/>
      <c r="H9" s="5"/>
      <c r="I9" s="5"/>
      <c r="J9" s="5"/>
      <c r="K9" s="5"/>
      <c r="L9" s="5"/>
      <c r="M9" s="5"/>
      <c r="N9" s="5"/>
      <c r="O9" s="5"/>
      <c r="P9" s="5"/>
      <c r="Q9" s="5"/>
      <c r="R9" s="5"/>
      <c r="S9" s="5"/>
      <c r="T9" s="5"/>
      <c r="U9" s="5"/>
      <c r="V9" s="5"/>
      <c r="W9" s="5"/>
      <c r="X9" s="5"/>
      <c r="Y9" s="5"/>
      <c r="Z9" s="1"/>
    </row>
    <row r="10" spans="1:26" ht="15.75" x14ac:dyDescent="0.3">
      <c r="A10" s="1"/>
      <c r="B10" s="5"/>
      <c r="C10" s="5"/>
      <c r="D10" s="5"/>
      <c r="E10" s="5"/>
      <c r="F10" s="5"/>
      <c r="G10" s="5"/>
      <c r="H10" s="5"/>
      <c r="I10" s="5"/>
      <c r="J10" s="5"/>
      <c r="K10" s="5"/>
      <c r="L10" s="5"/>
      <c r="M10" s="5"/>
      <c r="N10" s="5"/>
      <c r="O10" s="5"/>
      <c r="P10" s="5"/>
      <c r="Q10" s="5"/>
      <c r="R10" s="5"/>
      <c r="S10" s="5"/>
      <c r="T10" s="5"/>
      <c r="U10" s="5"/>
      <c r="V10" s="5"/>
      <c r="W10" s="5"/>
      <c r="X10" s="5"/>
      <c r="Y10" s="5"/>
      <c r="Z10" s="1"/>
    </row>
    <row r="11" spans="1:26" ht="15.75" x14ac:dyDescent="0.3">
      <c r="A11" s="1"/>
      <c r="B11" s="5"/>
      <c r="C11" s="5"/>
      <c r="D11" s="5"/>
      <c r="E11" s="5"/>
      <c r="F11" s="5"/>
      <c r="G11" s="5"/>
      <c r="H11" s="5"/>
      <c r="I11" s="5"/>
      <c r="J11" s="5"/>
      <c r="K11" s="5"/>
      <c r="L11" s="5"/>
      <c r="M11" s="5"/>
      <c r="N11" s="5"/>
      <c r="O11" s="5"/>
      <c r="P11" s="5"/>
      <c r="Q11" s="5"/>
      <c r="R11" s="5"/>
      <c r="S11" s="5"/>
      <c r="T11" s="5"/>
      <c r="U11" s="5"/>
      <c r="V11" s="5"/>
      <c r="W11" s="5"/>
      <c r="X11" s="5"/>
      <c r="Y11" s="5"/>
      <c r="Z11" s="1"/>
    </row>
    <row r="12" spans="1:26" ht="15.75" x14ac:dyDescent="0.3">
      <c r="A12" s="1"/>
      <c r="B12" s="5"/>
      <c r="C12" s="5"/>
      <c r="D12" s="5"/>
      <c r="E12" s="5"/>
      <c r="F12" s="5"/>
      <c r="G12" s="5"/>
      <c r="H12" s="5"/>
      <c r="I12" s="5"/>
      <c r="J12" s="5"/>
      <c r="K12" s="5"/>
      <c r="L12" s="5"/>
      <c r="M12" s="5"/>
      <c r="N12" s="5"/>
      <c r="O12" s="5"/>
      <c r="P12" s="5"/>
      <c r="Q12" s="5"/>
      <c r="R12" s="5"/>
      <c r="S12" s="5"/>
      <c r="T12" s="5"/>
      <c r="U12" s="5"/>
      <c r="V12" s="5"/>
      <c r="W12" s="5"/>
      <c r="X12" s="5"/>
      <c r="Y12" s="5"/>
      <c r="Z12" s="1"/>
    </row>
    <row r="13" spans="1:26" ht="15.75" x14ac:dyDescent="0.3">
      <c r="A13" s="1"/>
      <c r="B13" s="5"/>
      <c r="C13" s="5"/>
      <c r="D13" s="5"/>
      <c r="E13" s="5"/>
      <c r="F13" s="5"/>
      <c r="G13" s="5"/>
      <c r="H13" s="5"/>
      <c r="I13" s="5"/>
      <c r="J13" s="5"/>
      <c r="K13" s="5"/>
      <c r="L13" s="5"/>
      <c r="M13" s="5"/>
      <c r="N13" s="5"/>
      <c r="O13" s="5"/>
      <c r="P13" s="5"/>
      <c r="Q13" s="5"/>
      <c r="R13" s="5"/>
      <c r="S13" s="5"/>
      <c r="T13" s="5"/>
      <c r="U13" s="5"/>
      <c r="V13" s="5"/>
      <c r="W13" s="5"/>
      <c r="X13" s="5"/>
      <c r="Y13" s="5"/>
      <c r="Z13" s="1"/>
    </row>
    <row r="14" spans="1:26" ht="15.75" x14ac:dyDescent="0.3">
      <c r="A14" s="1"/>
      <c r="B14" s="5"/>
      <c r="C14" s="5"/>
      <c r="D14" s="5"/>
      <c r="E14" s="5"/>
      <c r="F14" s="5"/>
      <c r="G14" s="5"/>
      <c r="H14" s="5"/>
      <c r="I14" s="5"/>
      <c r="J14" s="5"/>
      <c r="K14" s="5"/>
      <c r="L14" s="5"/>
      <c r="M14" s="5"/>
      <c r="N14" s="5"/>
      <c r="O14" s="5"/>
      <c r="P14" s="5"/>
      <c r="Q14" s="5"/>
      <c r="R14" s="5"/>
      <c r="S14" s="5"/>
      <c r="T14" s="5"/>
      <c r="U14" s="5"/>
      <c r="V14" s="5"/>
      <c r="W14" s="5"/>
      <c r="X14" s="5"/>
      <c r="Y14" s="5"/>
      <c r="Z14" s="1"/>
    </row>
    <row r="15" spans="1:26" ht="15.75" x14ac:dyDescent="0.3">
      <c r="A15" s="1"/>
      <c r="B15" s="5"/>
      <c r="C15" s="5"/>
      <c r="D15" s="5"/>
      <c r="E15" s="5"/>
      <c r="F15" s="5"/>
      <c r="G15" s="5"/>
      <c r="H15" s="5"/>
      <c r="I15" s="5"/>
      <c r="J15" s="5"/>
      <c r="K15" s="5"/>
      <c r="L15" s="5"/>
      <c r="M15" s="5"/>
      <c r="N15" s="5"/>
      <c r="O15" s="5"/>
      <c r="P15" s="5"/>
      <c r="Q15" s="5"/>
      <c r="R15" s="5"/>
      <c r="S15" s="5"/>
      <c r="T15" s="5"/>
      <c r="U15" s="5"/>
      <c r="V15" s="5"/>
      <c r="W15" s="5"/>
      <c r="X15" s="5"/>
      <c r="Y15" s="5"/>
      <c r="Z15" s="1"/>
    </row>
    <row r="16" spans="1:26" ht="15.75" x14ac:dyDescent="0.3">
      <c r="A16" s="1"/>
      <c r="B16" s="5"/>
      <c r="C16" s="5"/>
      <c r="D16" s="5"/>
      <c r="E16" s="5"/>
      <c r="F16" s="5"/>
      <c r="G16" s="5"/>
      <c r="H16" s="5"/>
      <c r="I16" s="5"/>
      <c r="J16" s="5"/>
      <c r="K16" s="5"/>
      <c r="L16" s="5"/>
      <c r="M16" s="5"/>
      <c r="N16" s="5"/>
      <c r="O16" s="5"/>
      <c r="P16" s="5"/>
      <c r="Q16" s="5"/>
      <c r="R16" s="5"/>
      <c r="S16" s="5"/>
      <c r="T16" s="5"/>
      <c r="U16" s="5"/>
      <c r="V16" s="5"/>
      <c r="W16" s="5"/>
      <c r="X16" s="5"/>
      <c r="Y16" s="5"/>
      <c r="Z16" s="1"/>
    </row>
    <row r="17" spans="1:32" ht="15.75" x14ac:dyDescent="0.3">
      <c r="A17" s="1"/>
      <c r="B17" s="5"/>
      <c r="C17" s="5"/>
      <c r="D17" s="5"/>
      <c r="E17" s="5"/>
      <c r="F17" s="5"/>
      <c r="G17" s="5"/>
      <c r="H17" s="5"/>
      <c r="I17" s="5"/>
      <c r="J17" s="5"/>
      <c r="K17" s="5"/>
      <c r="L17" s="5"/>
      <c r="M17" s="5"/>
      <c r="N17" s="5"/>
      <c r="O17" s="5"/>
      <c r="P17" s="5"/>
      <c r="Q17" s="5"/>
      <c r="R17" s="5"/>
      <c r="S17" s="5"/>
      <c r="T17" s="5"/>
      <c r="U17" s="5"/>
      <c r="V17" s="5"/>
      <c r="W17" s="5"/>
      <c r="X17" s="5"/>
      <c r="Y17" s="5"/>
      <c r="Z17" s="1"/>
    </row>
    <row r="18" spans="1:32" ht="15.75" x14ac:dyDescent="0.3">
      <c r="A18" s="1"/>
      <c r="B18" s="5"/>
      <c r="C18" s="5"/>
      <c r="D18" s="5"/>
      <c r="E18" s="5"/>
      <c r="F18" s="5"/>
      <c r="G18" s="5"/>
      <c r="H18" s="5"/>
      <c r="I18" s="5"/>
      <c r="J18" s="5"/>
      <c r="K18" s="5"/>
      <c r="L18" s="5"/>
      <c r="M18" s="5"/>
      <c r="N18" s="5"/>
      <c r="O18" s="5"/>
      <c r="P18" s="5"/>
      <c r="Q18" s="5"/>
      <c r="R18" s="5"/>
      <c r="S18" s="5"/>
      <c r="T18" s="5"/>
      <c r="U18" s="5"/>
      <c r="V18" s="5"/>
      <c r="W18" s="5"/>
      <c r="X18" s="5"/>
      <c r="Y18" s="5"/>
      <c r="Z18" s="1"/>
    </row>
    <row r="19" spans="1:32" ht="15.75" x14ac:dyDescent="0.3">
      <c r="A19" s="1"/>
      <c r="B19" s="5"/>
      <c r="C19" s="5"/>
      <c r="D19" s="5"/>
      <c r="E19" s="5"/>
      <c r="F19" s="5"/>
      <c r="G19" s="5"/>
      <c r="H19" s="5"/>
      <c r="I19" s="5"/>
      <c r="J19" s="5"/>
      <c r="K19" s="5"/>
      <c r="L19" s="5"/>
      <c r="M19" s="5"/>
      <c r="N19" s="5"/>
      <c r="O19" s="5"/>
      <c r="P19" s="5"/>
      <c r="Q19" s="5"/>
      <c r="R19" s="5"/>
      <c r="S19" s="5"/>
      <c r="T19" s="5"/>
      <c r="U19" s="5"/>
      <c r="V19" s="5"/>
      <c r="W19" s="5"/>
      <c r="X19" s="5"/>
      <c r="Y19" s="5"/>
      <c r="Z19" s="1"/>
    </row>
    <row r="20" spans="1:32" ht="17.25" x14ac:dyDescent="0.3">
      <c r="A20" s="1"/>
      <c r="B20" s="10" t="s">
        <v>29</v>
      </c>
      <c r="C20" s="5"/>
      <c r="D20" s="5"/>
      <c r="E20" s="5"/>
      <c r="F20" s="5"/>
      <c r="G20" s="5"/>
      <c r="H20" s="5"/>
      <c r="I20" s="5"/>
      <c r="J20" s="5"/>
      <c r="K20" s="5"/>
      <c r="L20" s="5"/>
      <c r="M20" s="5"/>
      <c r="N20" s="5"/>
      <c r="O20" s="5"/>
      <c r="P20" s="5"/>
      <c r="Q20" s="5"/>
      <c r="R20" s="5"/>
      <c r="S20" s="5"/>
      <c r="T20" s="5"/>
      <c r="U20" s="5"/>
      <c r="V20" s="5"/>
      <c r="W20" s="5"/>
      <c r="X20" s="5"/>
      <c r="Y20" s="5"/>
      <c r="Z20" s="1"/>
    </row>
    <row r="21" spans="1:32" ht="16.5" x14ac:dyDescent="0.3">
      <c r="A21" s="1"/>
      <c r="B21" s="19" t="s">
        <v>30</v>
      </c>
      <c r="C21" s="11"/>
      <c r="D21" s="11"/>
      <c r="E21" s="11"/>
      <c r="F21" s="11"/>
      <c r="G21" s="11"/>
      <c r="H21" s="25" t="s">
        <v>31</v>
      </c>
      <c r="I21" s="25" t="s">
        <v>32</v>
      </c>
      <c r="J21" s="25" t="s">
        <v>33</v>
      </c>
      <c r="K21" s="25" t="s">
        <v>34</v>
      </c>
      <c r="L21" s="25" t="s">
        <v>35</v>
      </c>
      <c r="M21" s="25" t="s">
        <v>36</v>
      </c>
      <c r="N21" s="25" t="s">
        <v>37</v>
      </c>
      <c r="O21" s="25" t="s">
        <v>38</v>
      </c>
      <c r="P21" s="25" t="s">
        <v>39</v>
      </c>
      <c r="Q21" s="25" t="s">
        <v>40</v>
      </c>
      <c r="R21" s="25" t="s">
        <v>41</v>
      </c>
      <c r="S21" s="25" t="s">
        <v>42</v>
      </c>
      <c r="T21" s="11"/>
      <c r="U21" s="11"/>
      <c r="V21" s="11"/>
      <c r="W21" s="11"/>
      <c r="X21" s="11"/>
      <c r="Y21" s="11"/>
      <c r="Z21" s="1"/>
    </row>
    <row r="22" spans="1:32" ht="27" x14ac:dyDescent="0.3">
      <c r="A22" s="1"/>
      <c r="B22" s="39" t="s">
        <v>43</v>
      </c>
      <c r="C22" s="40" t="s">
        <v>47</v>
      </c>
      <c r="D22" s="41" t="s">
        <v>358</v>
      </c>
      <c r="E22" s="41" t="s">
        <v>357</v>
      </c>
      <c r="F22" s="41" t="s">
        <v>44</v>
      </c>
      <c r="G22" s="41" t="s">
        <v>45</v>
      </c>
      <c r="H22" s="41" t="s">
        <v>46</v>
      </c>
      <c r="I22" s="41" t="s">
        <v>46</v>
      </c>
      <c r="J22" s="41" t="s">
        <v>46</v>
      </c>
      <c r="K22" s="41" t="s">
        <v>46</v>
      </c>
      <c r="L22" s="41" t="s">
        <v>46</v>
      </c>
      <c r="M22" s="41" t="s">
        <v>46</v>
      </c>
      <c r="N22" s="41" t="s">
        <v>46</v>
      </c>
      <c r="O22" s="41" t="s">
        <v>46</v>
      </c>
      <c r="P22" s="41" t="s">
        <v>46</v>
      </c>
      <c r="Q22" s="41" t="s">
        <v>46</v>
      </c>
      <c r="R22" s="41" t="s">
        <v>46</v>
      </c>
      <c r="S22" s="41" t="s">
        <v>46</v>
      </c>
      <c r="T22" s="41" t="s">
        <v>49</v>
      </c>
      <c r="U22" s="41" t="s">
        <v>53</v>
      </c>
      <c r="V22" s="42" t="s">
        <v>54</v>
      </c>
      <c r="W22" s="43" t="s">
        <v>55</v>
      </c>
      <c r="X22" s="44" t="s">
        <v>48</v>
      </c>
      <c r="Y22" s="12"/>
      <c r="Z22" s="1"/>
      <c r="AB22" s="104"/>
      <c r="AC22" s="104"/>
      <c r="AD22" s="104"/>
      <c r="AE22" s="104"/>
      <c r="AF22" s="104"/>
    </row>
    <row r="23" spans="1:32" ht="15.75" x14ac:dyDescent="0.3">
      <c r="A23" s="1"/>
      <c r="B23" s="88"/>
      <c r="C23" s="89">
        <v>0</v>
      </c>
      <c r="D23" s="86">
        <f>IFERROR(Formal__Annual_Interest_1/12,"")</f>
        <v>0</v>
      </c>
      <c r="E23" s="90">
        <v>0</v>
      </c>
      <c r="F23" s="91">
        <v>0</v>
      </c>
      <c r="G23" s="18" t="str">
        <f>IFERROR(PMT(Formal_Interest_1,Formal_PaymentTerm_1,Formal_InitialAmount_Owed_1),"")</f>
        <v/>
      </c>
      <c r="H23" s="92">
        <v>0</v>
      </c>
      <c r="I23" s="92">
        <v>0</v>
      </c>
      <c r="J23" s="92">
        <v>0</v>
      </c>
      <c r="K23" s="92">
        <v>0</v>
      </c>
      <c r="L23" s="92">
        <v>0</v>
      </c>
      <c r="M23" s="92">
        <v>0</v>
      </c>
      <c r="N23" s="92">
        <v>0</v>
      </c>
      <c r="O23" s="92">
        <v>0</v>
      </c>
      <c r="P23" s="92">
        <v>0</v>
      </c>
      <c r="Q23" s="92">
        <v>0</v>
      </c>
      <c r="R23" s="92">
        <v>0</v>
      </c>
      <c r="S23" s="92">
        <v>0</v>
      </c>
      <c r="T23" s="87" t="str">
        <f>IFERROR(SUM(Formal_TAP_1/Formal_TCC_1),"")</f>
        <v/>
      </c>
      <c r="U23" s="28" t="str">
        <f>IFERROR(-(Formal_Minimum_Installment_1*12),"")</f>
        <v/>
      </c>
      <c r="V23" s="31">
        <f>(Formal_TAP_1-Formal_InitialAmount_Owed_1)</f>
        <v>0</v>
      </c>
      <c r="W23" s="30" t="str">
        <f>IFERROR(-SUM(Formal_Minimum_Installment_1*Formal_PaymentTerm_1),"")</f>
        <v/>
      </c>
      <c r="X23" s="29">
        <f>IFERROR(SUM(Formal_1_payment),"")</f>
        <v>0</v>
      </c>
      <c r="Y23" s="2"/>
      <c r="Z23" s="1"/>
      <c r="AB23" s="104"/>
      <c r="AC23" s="104"/>
      <c r="AD23" s="104"/>
      <c r="AE23" s="104"/>
      <c r="AF23" s="104"/>
    </row>
    <row r="24" spans="1:32" ht="15.75" x14ac:dyDescent="0.3">
      <c r="A24" s="1"/>
      <c r="B24" s="88"/>
      <c r="C24" s="89">
        <v>0</v>
      </c>
      <c r="D24" s="86">
        <v>0</v>
      </c>
      <c r="E24" s="90">
        <v>0</v>
      </c>
      <c r="F24" s="91">
        <v>0</v>
      </c>
      <c r="G24" s="18" t="str">
        <f>IFERROR(PMT(Formal_Interest_2,Formal_PaymentTerm_2,Formal_InitialAmount_Owed_2),"")</f>
        <v/>
      </c>
      <c r="H24" s="92">
        <v>0</v>
      </c>
      <c r="I24" s="93">
        <v>0</v>
      </c>
      <c r="J24" s="93">
        <v>0</v>
      </c>
      <c r="K24" s="93">
        <v>0</v>
      </c>
      <c r="L24" s="93">
        <v>0</v>
      </c>
      <c r="M24" s="93">
        <v>0</v>
      </c>
      <c r="N24" s="93">
        <v>0</v>
      </c>
      <c r="O24" s="93">
        <v>0</v>
      </c>
      <c r="P24" s="93">
        <v>0</v>
      </c>
      <c r="Q24" s="93">
        <v>0</v>
      </c>
      <c r="R24" s="93">
        <v>0</v>
      </c>
      <c r="S24" s="93">
        <v>0</v>
      </c>
      <c r="T24" s="87" t="str">
        <f>IFERROR(SUM(Formal_TAP_2/Formal_TCC_2),"")</f>
        <v/>
      </c>
      <c r="U24" s="28" t="str">
        <f>IFERROR(-(Formal_Minimum_Installment_2*12),"")</f>
        <v/>
      </c>
      <c r="V24" s="31">
        <f>(Formal_TAP_2-Formal_InitialAmount_Owed_2)</f>
        <v>0</v>
      </c>
      <c r="W24" s="30" t="str">
        <f>IFERROR(-SUM(Formal_Minimum_Installment_2*Formal_PaymentTerm_2),"")</f>
        <v/>
      </c>
      <c r="X24" s="29">
        <f>IFERROR(SUM(Formal_2_Payment),"")</f>
        <v>0</v>
      </c>
      <c r="Y24" s="13"/>
      <c r="Z24" s="1"/>
      <c r="AB24" s="104"/>
      <c r="AC24" s="104"/>
      <c r="AD24" s="104"/>
      <c r="AE24" s="104"/>
      <c r="AF24" s="104"/>
    </row>
    <row r="25" spans="1:32" ht="15.75" x14ac:dyDescent="0.3">
      <c r="A25" s="1"/>
      <c r="B25" s="88"/>
      <c r="C25" s="89">
        <v>0</v>
      </c>
      <c r="D25" s="86">
        <f>IFERROR(Formal__Annual_Interest_3/12,"")</f>
        <v>0</v>
      </c>
      <c r="E25" s="90">
        <v>0</v>
      </c>
      <c r="F25" s="91">
        <v>0</v>
      </c>
      <c r="G25" s="18" t="str">
        <f>IFERROR(PMT(Formal_Interest_3,Formal_PaymentTerm_3,Formal_InitialAmount_Owed_3),"")</f>
        <v/>
      </c>
      <c r="H25" s="92">
        <v>0</v>
      </c>
      <c r="I25" s="93">
        <v>0</v>
      </c>
      <c r="J25" s="93">
        <v>0</v>
      </c>
      <c r="K25" s="93">
        <v>0</v>
      </c>
      <c r="L25" s="93">
        <v>0</v>
      </c>
      <c r="M25" s="93">
        <v>0</v>
      </c>
      <c r="N25" s="93">
        <v>0</v>
      </c>
      <c r="O25" s="93">
        <v>0</v>
      </c>
      <c r="P25" s="93">
        <v>0</v>
      </c>
      <c r="Q25" s="93">
        <v>0</v>
      </c>
      <c r="R25" s="93">
        <v>0</v>
      </c>
      <c r="S25" s="93">
        <v>0</v>
      </c>
      <c r="T25" s="87" t="str">
        <f>IFERROR(SUM(Formal_TAP_3/Formal_TCC_3),"")</f>
        <v/>
      </c>
      <c r="U25" s="28" t="str">
        <f>IFERROR(-(Formal_Minimum_Installment_3*12),"")</f>
        <v/>
      </c>
      <c r="V25" s="31">
        <f>(Formal_TAP_3-Formal_InitialAmount_Owed_3)</f>
        <v>0</v>
      </c>
      <c r="W25" s="30" t="str">
        <f>IFERROR(-SUM(Formal_Minimum_Installment_3*Formal_PaymentTerm_3),"")</f>
        <v/>
      </c>
      <c r="X25" s="29">
        <f>IFERROR(SUM(Formal_3_Paument),"")</f>
        <v>0</v>
      </c>
      <c r="Y25" s="13" t="s">
        <v>50</v>
      </c>
      <c r="Z25" s="1"/>
      <c r="AB25" s="104"/>
      <c r="AC25" s="105" t="s">
        <v>364</v>
      </c>
      <c r="AD25" s="104" t="s">
        <v>365</v>
      </c>
      <c r="AE25" s="104" t="s">
        <v>366</v>
      </c>
      <c r="AF25" s="104"/>
    </row>
    <row r="26" spans="1:32" ht="15.75" x14ac:dyDescent="0.3">
      <c r="A26" s="1"/>
      <c r="B26" s="88"/>
      <c r="C26" s="89">
        <v>0</v>
      </c>
      <c r="D26" s="86">
        <f>IFERROR(Formal__Annual_Interest_4/12,"")</f>
        <v>0</v>
      </c>
      <c r="E26" s="90">
        <v>0</v>
      </c>
      <c r="F26" s="91">
        <v>0</v>
      </c>
      <c r="G26" s="18" t="str">
        <f>IFERROR(PMT(Formal_Interest_4,Formal_PaymentTerm_4,Formal_InitialAmount_Owed_4),"")</f>
        <v/>
      </c>
      <c r="H26" s="92">
        <v>0</v>
      </c>
      <c r="I26" s="93">
        <v>0</v>
      </c>
      <c r="J26" s="93">
        <v>0</v>
      </c>
      <c r="K26" s="93">
        <v>0</v>
      </c>
      <c r="L26" s="93">
        <v>0</v>
      </c>
      <c r="M26" s="93">
        <v>0</v>
      </c>
      <c r="N26" s="93">
        <v>0</v>
      </c>
      <c r="O26" s="93">
        <v>0</v>
      </c>
      <c r="P26" s="93">
        <v>0</v>
      </c>
      <c r="Q26" s="93">
        <v>0</v>
      </c>
      <c r="R26" s="93">
        <v>0</v>
      </c>
      <c r="S26" s="93">
        <v>0</v>
      </c>
      <c r="T26" s="87" t="str">
        <f>IFERROR(SUM(Formal_TAP_4/Formal_TCC_4),"")</f>
        <v/>
      </c>
      <c r="U26" s="28" t="str">
        <f>IFERROR(-(Formal_Minimum_Installment_4*12),"")</f>
        <v/>
      </c>
      <c r="V26" s="31">
        <f>(Formal_TAP_4-Formal_InitialAmount_Owed_4)</f>
        <v>0</v>
      </c>
      <c r="W26" s="30" t="str">
        <f>IFERROR(-SUM(Formal_Minimum_Installment_4*Formal_PaymentTerm_4),"")</f>
        <v/>
      </c>
      <c r="X26" s="29">
        <f>IFERROR(SUM(Formal_4_Payment),"")</f>
        <v>0</v>
      </c>
      <c r="Y26" s="136">
        <f>IFERROR(Formal_IAO-SUM(Formal_SubTotals),"")</f>
        <v>0</v>
      </c>
      <c r="Z26" s="1"/>
      <c r="AB26" s="104"/>
      <c r="AC26" s="106" t="str">
        <f>Formal_Total_perc_To_Goal</f>
        <v/>
      </c>
      <c r="AD26" s="106" t="str">
        <f>Informal_Total_perc_To_Goal</f>
        <v/>
      </c>
      <c r="AE26" s="106">
        <f>Friends_family_Total_perc_To_Goal</f>
        <v>0</v>
      </c>
      <c r="AF26" s="104"/>
    </row>
    <row r="27" spans="1:32" ht="15.75" x14ac:dyDescent="0.3">
      <c r="A27" s="1"/>
      <c r="B27" s="88"/>
      <c r="C27" s="89">
        <v>0</v>
      </c>
      <c r="D27" s="86">
        <f>IFERROR(Formal__Annual_Interest_5/12,"")</f>
        <v>0</v>
      </c>
      <c r="E27" s="90">
        <v>0</v>
      </c>
      <c r="F27" s="91">
        <v>0</v>
      </c>
      <c r="G27" s="18" t="str">
        <f>IFERROR(PMT(Formal_Interest_5,Formal_PaymentTerm_5,Formal_InitialAmount_Owed_5),"")</f>
        <v/>
      </c>
      <c r="H27" s="92">
        <v>0</v>
      </c>
      <c r="I27" s="93">
        <v>0</v>
      </c>
      <c r="J27" s="93">
        <v>0</v>
      </c>
      <c r="K27" s="93">
        <v>0</v>
      </c>
      <c r="L27" s="93">
        <v>0</v>
      </c>
      <c r="M27" s="93">
        <v>0</v>
      </c>
      <c r="N27" s="93">
        <v>0</v>
      </c>
      <c r="O27" s="93">
        <v>0</v>
      </c>
      <c r="P27" s="93">
        <v>0</v>
      </c>
      <c r="Q27" s="93">
        <v>0</v>
      </c>
      <c r="R27" s="93">
        <v>0</v>
      </c>
      <c r="S27" s="93">
        <v>0</v>
      </c>
      <c r="T27" s="87" t="str">
        <f>IFERROR(SUM(Formal_TAP_5/Formal_TCC_5),"")</f>
        <v/>
      </c>
      <c r="U27" s="28" t="str">
        <f>IFERROR(-(Formal_Minimum_Installment_5*12),"")</f>
        <v/>
      </c>
      <c r="V27" s="31">
        <f>(Formal_TAP_5-Formal_InitialAmount_Owed_5)</f>
        <v>0</v>
      </c>
      <c r="W27" s="30" t="str">
        <f>IFERROR(-SUM(Formal_Minimum_Installment_5*Formal_PaymentTerm_5),"")</f>
        <v/>
      </c>
      <c r="X27" s="29">
        <f>IFERROR(SUM(Formal_5_payment),"")</f>
        <v>0</v>
      </c>
      <c r="Y27" s="2"/>
      <c r="Z27" s="1"/>
      <c r="AB27" s="104"/>
      <c r="AC27" s="107" t="e">
        <f>MAX(100%-Formal_Total_perc_To_Goal)</f>
        <v>#VALUE!</v>
      </c>
      <c r="AD27" s="107" t="e">
        <f>MAX(100%-Informal_Total_perc_To_Goal)</f>
        <v>#VALUE!</v>
      </c>
      <c r="AE27" s="107">
        <f>MAX(100%-Friends_family_Total_perc_To_Goal)</f>
        <v>1</v>
      </c>
      <c r="AF27" s="104"/>
    </row>
    <row r="28" spans="1:32" ht="15.75" x14ac:dyDescent="0.3">
      <c r="A28" s="1"/>
      <c r="B28" s="88"/>
      <c r="C28" s="89">
        <v>0</v>
      </c>
      <c r="D28" s="86">
        <f>IFERROR(Formal__Annual_Interest_6/12,"")</f>
        <v>0</v>
      </c>
      <c r="E28" s="90">
        <v>0</v>
      </c>
      <c r="F28" s="91">
        <v>0</v>
      </c>
      <c r="G28" s="18" t="str">
        <f>IFERROR(PMT(Formal_Interest_6,Formal_PaymentTerm_6,Formal_InitialAmount_Owed_6),"")</f>
        <v/>
      </c>
      <c r="H28" s="92">
        <v>0</v>
      </c>
      <c r="I28" s="93">
        <v>0</v>
      </c>
      <c r="J28" s="93">
        <v>0</v>
      </c>
      <c r="K28" s="93">
        <v>0</v>
      </c>
      <c r="L28" s="93">
        <v>0</v>
      </c>
      <c r="M28" s="93">
        <v>0</v>
      </c>
      <c r="N28" s="93">
        <v>0</v>
      </c>
      <c r="O28" s="93">
        <v>0</v>
      </c>
      <c r="P28" s="93">
        <v>0</v>
      </c>
      <c r="Q28" s="93">
        <v>0</v>
      </c>
      <c r="R28" s="93">
        <v>0</v>
      </c>
      <c r="S28" s="93">
        <v>0</v>
      </c>
      <c r="T28" s="87" t="str">
        <f>IFERROR(SUM(Formal_TAP_6/Formal_TCC_6),"")</f>
        <v/>
      </c>
      <c r="U28" s="28" t="str">
        <f>IFERROR(-(Formal_Minimum_Installment_6*12),"")</f>
        <v/>
      </c>
      <c r="V28" s="31">
        <f>(Formal_TAP_6-Formal_InitialAmount_Owed_6)</f>
        <v>0</v>
      </c>
      <c r="W28" s="30" t="str">
        <f>IFERROR(-SUM(Formal_Minimum_Installment_6*Formal_PaymentTerm_6),"")</f>
        <v/>
      </c>
      <c r="X28" s="29">
        <f>IFERROR(SUM(Formal_6_Payment),"")</f>
        <v>0</v>
      </c>
      <c r="Y28" s="2"/>
      <c r="Z28" s="1"/>
      <c r="AB28" s="104"/>
      <c r="AC28" s="104"/>
      <c r="AD28" s="104"/>
      <c r="AE28" s="104"/>
      <c r="AF28" s="104"/>
    </row>
    <row r="29" spans="1:32" ht="15.75" x14ac:dyDescent="0.3">
      <c r="A29" s="1"/>
      <c r="B29" s="88"/>
      <c r="C29" s="89">
        <v>0</v>
      </c>
      <c r="D29" s="86">
        <f>IFERROR(Formal__Annual_Interest_7/12,"")</f>
        <v>0</v>
      </c>
      <c r="E29" s="90">
        <v>0</v>
      </c>
      <c r="F29" s="91">
        <v>0</v>
      </c>
      <c r="G29" s="18" t="str">
        <f>IFERROR(PMT(Formal_Interest_7,Formal_PaymentTerm_7,Formal_InitialAmount_Owed_7),"")</f>
        <v/>
      </c>
      <c r="H29" s="92">
        <v>0</v>
      </c>
      <c r="I29" s="93">
        <v>0</v>
      </c>
      <c r="J29" s="93">
        <v>0</v>
      </c>
      <c r="K29" s="93">
        <v>0</v>
      </c>
      <c r="L29" s="93">
        <v>0</v>
      </c>
      <c r="M29" s="93">
        <v>0</v>
      </c>
      <c r="N29" s="93">
        <v>0</v>
      </c>
      <c r="O29" s="93">
        <v>0</v>
      </c>
      <c r="P29" s="93">
        <v>0</v>
      </c>
      <c r="Q29" s="93">
        <v>0</v>
      </c>
      <c r="R29" s="93">
        <v>0</v>
      </c>
      <c r="S29" s="93">
        <v>0</v>
      </c>
      <c r="T29" s="87" t="str">
        <f>IFERROR(SUM(Formal_TAP_7/Formal_TCC_7),"")</f>
        <v/>
      </c>
      <c r="U29" s="28" t="str">
        <f>IFERROR(-(Formal_Minimum_Installment_7*12),"")</f>
        <v/>
      </c>
      <c r="V29" s="31">
        <f>(Formal_TAP_7-Formal_InitialAmount_Owed_7)</f>
        <v>0</v>
      </c>
      <c r="W29" s="30" t="str">
        <f>IFERROR(-SUM(Formal_Minimum_Installment_7*Formal_PaymentTerm_7),"")</f>
        <v/>
      </c>
      <c r="X29" s="29">
        <f>IFERROR(SUM(Formal_7_Paymant),"")</f>
        <v>0</v>
      </c>
      <c r="Y29" s="2"/>
      <c r="Z29" s="1"/>
      <c r="AB29" s="104"/>
      <c r="AC29" s="104"/>
      <c r="AD29" s="104"/>
      <c r="AE29" s="104"/>
      <c r="AF29" s="104"/>
    </row>
    <row r="30" spans="1:32" ht="15.75" x14ac:dyDescent="0.3">
      <c r="A30" s="1"/>
      <c r="B30" s="88"/>
      <c r="C30" s="89">
        <v>0</v>
      </c>
      <c r="D30" s="86">
        <f>IFERROR(Formal__Annual_Interest_8/12,"")</f>
        <v>0</v>
      </c>
      <c r="E30" s="90">
        <v>0</v>
      </c>
      <c r="F30" s="91">
        <v>0</v>
      </c>
      <c r="G30" s="18" t="str">
        <f>IFERROR(PMT(Formal_Interest_8,Formal_PaymentTerm_8,Formal_InitialAmount_Owed_8),"")</f>
        <v/>
      </c>
      <c r="H30" s="92">
        <v>0</v>
      </c>
      <c r="I30" s="93">
        <v>0</v>
      </c>
      <c r="J30" s="93">
        <v>0</v>
      </c>
      <c r="K30" s="93">
        <v>0</v>
      </c>
      <c r="L30" s="93">
        <v>0</v>
      </c>
      <c r="M30" s="93">
        <v>0</v>
      </c>
      <c r="N30" s="93">
        <v>0</v>
      </c>
      <c r="O30" s="93">
        <v>0</v>
      </c>
      <c r="P30" s="93">
        <v>0</v>
      </c>
      <c r="Q30" s="93">
        <v>0</v>
      </c>
      <c r="R30" s="93">
        <v>0</v>
      </c>
      <c r="S30" s="93">
        <v>0</v>
      </c>
      <c r="T30" s="87" t="str">
        <f>IFERROR(SUM(Formal_TAP_8/Formal_TCC_8),"")</f>
        <v/>
      </c>
      <c r="U30" s="28" t="str">
        <f>IFERROR(-(Formal_Minimum_Installment_8*12),"")</f>
        <v/>
      </c>
      <c r="V30" s="31">
        <f>(Formal_TAP_8-Formal_InitialAmount_Owed_8)</f>
        <v>0</v>
      </c>
      <c r="W30" s="30" t="str">
        <f>IFERROR(-SUM(Formal_Minimum_Installment_8*Formal_PaymentTerm_8),"")</f>
        <v/>
      </c>
      <c r="X30" s="29">
        <f>IFERROR(SUM(Formal_8_Payment),"")</f>
        <v>0</v>
      </c>
      <c r="Y30" s="2"/>
      <c r="Z30" s="1"/>
      <c r="AB30" s="108"/>
      <c r="AC30" s="104"/>
      <c r="AD30" s="104"/>
      <c r="AE30" s="104"/>
      <c r="AF30" s="104"/>
    </row>
    <row r="31" spans="1:32" ht="15.75" x14ac:dyDescent="0.3">
      <c r="A31" s="1"/>
      <c r="B31" s="38" t="s">
        <v>51</v>
      </c>
      <c r="C31" s="14">
        <f>IFERROR(SUM(Initial_amount_Owed_Formal),"")</f>
        <v>0</v>
      </c>
      <c r="D31" s="33"/>
      <c r="E31" s="33"/>
      <c r="F31" s="33"/>
      <c r="G31" s="34" t="s">
        <v>28</v>
      </c>
      <c r="H31" s="35">
        <f>IFERROR(SUM(FinScor_Jan_formal),"")</f>
        <v>0</v>
      </c>
      <c r="I31" s="35">
        <f>IFERROR(SUM(FinScor_Feb_Formal),"")</f>
        <v>0</v>
      </c>
      <c r="J31" s="36">
        <f>IFERROR(SUM(FinScor_Mar_Formal),"")</f>
        <v>0</v>
      </c>
      <c r="K31" s="36">
        <f>IFERROR(SUM(FinScor_Apr_Formal),"")</f>
        <v>0</v>
      </c>
      <c r="L31" s="36">
        <f>IFERROR(SUM(FinScor_May_Formal),"")</f>
        <v>0</v>
      </c>
      <c r="M31" s="36">
        <f>IFERROR(SUM(FinScor_Jun_Formal),"")</f>
        <v>0</v>
      </c>
      <c r="N31" s="36">
        <f>IFERROR(SUM(FinScor_Jul_formal),"")</f>
        <v>0</v>
      </c>
      <c r="O31" s="36">
        <f>IFERROR(SUM(FinScor_Aug_Formal),"")</f>
        <v>0</v>
      </c>
      <c r="P31" s="36">
        <f>IFERROR(SUM(FinScor_Sep_formal),"")</f>
        <v>0</v>
      </c>
      <c r="Q31" s="36">
        <f>IFERROR(SUM(FinScor_Oct_Formal),"")</f>
        <v>0</v>
      </c>
      <c r="R31" s="36">
        <f>IFERROR(SUM(FinScor_Nov_Formal),"")</f>
        <v>0</v>
      </c>
      <c r="S31" s="36">
        <f>IFERROR(SUM(FinScor_Dec_Formal),"")</f>
        <v>0</v>
      </c>
      <c r="T31" s="102" t="str">
        <f>IFERROR(AVERAGE(percentage_to_goal_formal),"")</f>
        <v/>
      </c>
      <c r="U31" s="47">
        <f>IFERROR(SUM(Annual_Payment),"")</f>
        <v>0</v>
      </c>
      <c r="V31" s="37">
        <f>IFERROR(SUM(Total_Amount_to_be_Paid_formal),"")</f>
        <v>0</v>
      </c>
      <c r="W31" s="37">
        <f>IFERROR(SUM(Total_Cost_of_Credit_formal),"")</f>
        <v>0</v>
      </c>
      <c r="X31" s="32">
        <f>IFERROR(SUM(Total_Amount_Paid_Formal),"")</f>
        <v>0</v>
      </c>
      <c r="Y31" s="2"/>
      <c r="Z31" s="1"/>
      <c r="AB31" s="104"/>
      <c r="AC31" s="104"/>
      <c r="AD31" s="104"/>
      <c r="AE31" s="104"/>
      <c r="AF31" s="104"/>
    </row>
    <row r="32" spans="1:32" ht="16.5" x14ac:dyDescent="0.3">
      <c r="A32" s="1"/>
      <c r="B32" s="20" t="s">
        <v>52</v>
      </c>
      <c r="C32" s="21"/>
      <c r="D32" s="21"/>
      <c r="E32" s="21"/>
      <c r="F32" s="21"/>
      <c r="G32" s="21"/>
      <c r="H32" s="26" t="s">
        <v>31</v>
      </c>
      <c r="I32" s="26" t="s">
        <v>32</v>
      </c>
      <c r="J32" s="26" t="s">
        <v>33</v>
      </c>
      <c r="K32" s="26" t="s">
        <v>34</v>
      </c>
      <c r="L32" s="26" t="s">
        <v>35</v>
      </c>
      <c r="M32" s="26" t="s">
        <v>36</v>
      </c>
      <c r="N32" s="26" t="s">
        <v>37</v>
      </c>
      <c r="O32" s="26" t="s">
        <v>38</v>
      </c>
      <c r="P32" s="26" t="s">
        <v>39</v>
      </c>
      <c r="Q32" s="26" t="s">
        <v>40</v>
      </c>
      <c r="R32" s="26" t="s">
        <v>41</v>
      </c>
      <c r="S32" s="26" t="s">
        <v>42</v>
      </c>
      <c r="T32" s="21"/>
      <c r="U32" s="21"/>
      <c r="V32" s="21"/>
      <c r="W32" s="21"/>
      <c r="X32" s="21"/>
      <c r="Y32" s="21"/>
      <c r="Z32" s="1"/>
    </row>
    <row r="33" spans="1:26" ht="27" x14ac:dyDescent="0.3">
      <c r="A33" s="1"/>
      <c r="B33" s="39" t="s">
        <v>43</v>
      </c>
      <c r="C33" s="40" t="s">
        <v>47</v>
      </c>
      <c r="D33" s="41" t="s">
        <v>358</v>
      </c>
      <c r="E33" s="41" t="s">
        <v>357</v>
      </c>
      <c r="F33" s="41" t="s">
        <v>44</v>
      </c>
      <c r="G33" s="41" t="s">
        <v>45</v>
      </c>
      <c r="H33" s="41" t="s">
        <v>46</v>
      </c>
      <c r="I33" s="41" t="s">
        <v>46</v>
      </c>
      <c r="J33" s="41" t="s">
        <v>46</v>
      </c>
      <c r="K33" s="41" t="s">
        <v>46</v>
      </c>
      <c r="L33" s="41" t="s">
        <v>46</v>
      </c>
      <c r="M33" s="41" t="s">
        <v>46</v>
      </c>
      <c r="N33" s="41" t="s">
        <v>46</v>
      </c>
      <c r="O33" s="41" t="s">
        <v>46</v>
      </c>
      <c r="P33" s="41" t="s">
        <v>46</v>
      </c>
      <c r="Q33" s="41" t="s">
        <v>46</v>
      </c>
      <c r="R33" s="41" t="s">
        <v>46</v>
      </c>
      <c r="S33" s="41" t="s">
        <v>46</v>
      </c>
      <c r="T33" s="41" t="s">
        <v>49</v>
      </c>
      <c r="U33" s="41" t="s">
        <v>53</v>
      </c>
      <c r="V33" s="42" t="s">
        <v>54</v>
      </c>
      <c r="W33" s="43" t="s">
        <v>55</v>
      </c>
      <c r="X33" s="44" t="s">
        <v>48</v>
      </c>
      <c r="Y33" s="12"/>
      <c r="Z33" s="1"/>
    </row>
    <row r="34" spans="1:26" ht="15.75" x14ac:dyDescent="0.3">
      <c r="A34" s="1"/>
      <c r="B34" s="88"/>
      <c r="C34" s="89">
        <v>0</v>
      </c>
      <c r="D34" s="86">
        <f>IFERROR(Informal__Annual_Interest_1/12,"")</f>
        <v>0</v>
      </c>
      <c r="E34" s="90">
        <v>0</v>
      </c>
      <c r="F34" s="91">
        <v>0</v>
      </c>
      <c r="G34" s="18" t="str">
        <f>IFERROR(PMT(Informal_Interest_1,Informal_PaymentTerm_1,Informal_InitialAmount_Owed_1),"")</f>
        <v/>
      </c>
      <c r="H34" s="92">
        <v>0</v>
      </c>
      <c r="I34" s="92">
        <v>0</v>
      </c>
      <c r="J34" s="92">
        <v>0</v>
      </c>
      <c r="K34" s="92">
        <v>0</v>
      </c>
      <c r="L34" s="92">
        <v>0</v>
      </c>
      <c r="M34" s="92">
        <v>0</v>
      </c>
      <c r="N34" s="92">
        <v>0</v>
      </c>
      <c r="O34" s="92">
        <v>0</v>
      </c>
      <c r="P34" s="92">
        <v>0</v>
      </c>
      <c r="Q34" s="92">
        <v>0</v>
      </c>
      <c r="R34" s="92">
        <v>0</v>
      </c>
      <c r="S34" s="92">
        <v>0</v>
      </c>
      <c r="T34" s="87" t="str">
        <f>IFERROR(SUM(Informal_TAP_1/Informal_TCC_1),"")</f>
        <v/>
      </c>
      <c r="U34" s="28" t="str">
        <f>IFERROR(-(Informal_Minimum_Installment_1*12),"")</f>
        <v/>
      </c>
      <c r="V34" s="31">
        <f>(Informal_TAP_1-Informal_InitialAmount_Owed_1)</f>
        <v>0</v>
      </c>
      <c r="W34" s="30" t="str">
        <f>IFERROR(-SUM(Informal_Minimum_Installment_1*Informal_PaymentTerm_1),"")</f>
        <v/>
      </c>
      <c r="X34" s="29">
        <f>IFERROR(SUM(Informal_1_payment),"")</f>
        <v>0</v>
      </c>
      <c r="Y34" s="2"/>
      <c r="Z34" s="1"/>
    </row>
    <row r="35" spans="1:26" ht="15.75" x14ac:dyDescent="0.3">
      <c r="A35" s="1"/>
      <c r="B35" s="88"/>
      <c r="C35" s="89">
        <v>0</v>
      </c>
      <c r="D35" s="86">
        <f>IFERROR(Informal__Annual_Interest_2/12,"")</f>
        <v>0</v>
      </c>
      <c r="E35" s="90">
        <v>0</v>
      </c>
      <c r="F35" s="91">
        <v>0</v>
      </c>
      <c r="G35" s="18" t="str">
        <f>IFERROR(PMT(Informal_Interest_2,Informal_PaymentTerm_2,Informal_InitialAmount_Owed_2),"")</f>
        <v/>
      </c>
      <c r="H35" s="92">
        <v>0</v>
      </c>
      <c r="I35" s="92">
        <v>0</v>
      </c>
      <c r="J35" s="92">
        <v>0</v>
      </c>
      <c r="K35" s="92">
        <v>0</v>
      </c>
      <c r="L35" s="92">
        <v>0</v>
      </c>
      <c r="M35" s="92">
        <v>0</v>
      </c>
      <c r="N35" s="92">
        <v>0</v>
      </c>
      <c r="O35" s="92">
        <v>0</v>
      </c>
      <c r="P35" s="92">
        <v>0</v>
      </c>
      <c r="Q35" s="92">
        <v>0</v>
      </c>
      <c r="R35" s="92">
        <v>0</v>
      </c>
      <c r="S35" s="92">
        <v>0</v>
      </c>
      <c r="T35" s="87" t="str">
        <f>IFERROR(SUM(Informal_TAP_2/Informal_TCC_2),"")</f>
        <v/>
      </c>
      <c r="U35" s="28" t="str">
        <f>IFERROR(-(Informal_Minimum_Installment_2*12),"")</f>
        <v/>
      </c>
      <c r="V35" s="31">
        <f>(Informal_TAP_2-Informal_InitialAmount_Owed_2)</f>
        <v>0</v>
      </c>
      <c r="W35" s="30" t="str">
        <f>IFERROR(-SUM(Informal_Minimum_Installment_2*Informal_PaymentTerm_2),"")</f>
        <v/>
      </c>
      <c r="X35" s="29">
        <f>IFERROR(SUM(Informal_2_payment),"")</f>
        <v>0</v>
      </c>
      <c r="Y35" s="13"/>
      <c r="Z35" s="1"/>
    </row>
    <row r="36" spans="1:26" ht="15.75" x14ac:dyDescent="0.3">
      <c r="A36" s="1"/>
      <c r="B36" s="88"/>
      <c r="C36" s="89">
        <v>0</v>
      </c>
      <c r="D36" s="86">
        <f>IFERROR(Informal__Annual_Interest_3/12,"")</f>
        <v>0</v>
      </c>
      <c r="E36" s="90">
        <v>0</v>
      </c>
      <c r="F36" s="91">
        <v>0</v>
      </c>
      <c r="G36" s="18" t="str">
        <f>IFERROR(PMT(Informal_Interest_3,Informal_PaymentTerm_3,Informal_InitialAmount_Owed_3),"")</f>
        <v/>
      </c>
      <c r="H36" s="92">
        <v>0</v>
      </c>
      <c r="I36" s="92">
        <v>0</v>
      </c>
      <c r="J36" s="92">
        <v>0</v>
      </c>
      <c r="K36" s="92">
        <v>0</v>
      </c>
      <c r="L36" s="92">
        <v>0</v>
      </c>
      <c r="M36" s="92">
        <v>0</v>
      </c>
      <c r="N36" s="92">
        <v>0</v>
      </c>
      <c r="O36" s="92">
        <v>0</v>
      </c>
      <c r="P36" s="92">
        <v>0</v>
      </c>
      <c r="Q36" s="92">
        <v>0</v>
      </c>
      <c r="R36" s="92">
        <v>0</v>
      </c>
      <c r="S36" s="92">
        <v>0</v>
      </c>
      <c r="T36" s="87" t="str">
        <f>IFERROR(SUM(Informal_TAP_3/Informal_TCC_3),"")</f>
        <v/>
      </c>
      <c r="U36" s="28" t="str">
        <f>IFERROR(-(Informal_Minimum_Installment_3*12),"")</f>
        <v/>
      </c>
      <c r="V36" s="31">
        <f>(Informal_TAP_3-Informal_InitialAmount_Owed_3)</f>
        <v>0</v>
      </c>
      <c r="W36" s="30" t="str">
        <f>IFERROR(-SUM(Informal_Minimum_Installment_3*Informal_PaymentTerm_3),"")</f>
        <v/>
      </c>
      <c r="X36" s="29">
        <f>IFERROR(SUM(Informal_3_payment),"")</f>
        <v>0</v>
      </c>
      <c r="Y36" s="13" t="s">
        <v>50</v>
      </c>
      <c r="Z36" s="1"/>
    </row>
    <row r="37" spans="1:26" ht="15.75" x14ac:dyDescent="0.3">
      <c r="A37" s="1"/>
      <c r="B37" s="88"/>
      <c r="C37" s="89">
        <v>0</v>
      </c>
      <c r="D37" s="86">
        <f>IFERROR(Informal__Annual_Interest_4/12,"")</f>
        <v>0</v>
      </c>
      <c r="E37" s="90">
        <v>0</v>
      </c>
      <c r="F37" s="91">
        <v>0</v>
      </c>
      <c r="G37" s="18" t="str">
        <f>IFERROR(PMT(Informal_Interest_4,Informal_PaymentTerm_4,Informal_InitialAmount_Owed_4),"")</f>
        <v/>
      </c>
      <c r="H37" s="92">
        <v>0</v>
      </c>
      <c r="I37" s="92">
        <v>0</v>
      </c>
      <c r="J37" s="92">
        <v>0</v>
      </c>
      <c r="K37" s="92">
        <v>0</v>
      </c>
      <c r="L37" s="92">
        <v>0</v>
      </c>
      <c r="M37" s="92">
        <v>0</v>
      </c>
      <c r="N37" s="92">
        <v>0</v>
      </c>
      <c r="O37" s="92">
        <v>0</v>
      </c>
      <c r="P37" s="92">
        <v>0</v>
      </c>
      <c r="Q37" s="92">
        <v>0</v>
      </c>
      <c r="R37" s="92">
        <v>0</v>
      </c>
      <c r="S37" s="92">
        <v>0</v>
      </c>
      <c r="T37" s="87" t="str">
        <f>IFERROR(SUM(Informal_TAP_4/Informal_TCC_4),"")</f>
        <v/>
      </c>
      <c r="U37" s="28" t="str">
        <f>IFERROR(-(Informal_Minimum_Installment_4*12),"")</f>
        <v/>
      </c>
      <c r="V37" s="31">
        <f>(Informal_TAP_4-Informal_InitialAmount_Owed_4)</f>
        <v>0</v>
      </c>
      <c r="W37" s="30" t="str">
        <f>IFERROR(-SUM(Informal_Minimum_Installment_4*Informal_PaymentTerm_4),"")</f>
        <v/>
      </c>
      <c r="X37" s="29">
        <f>IFERROR(SUM(Informal_4_payment),"")</f>
        <v>0</v>
      </c>
      <c r="Y37" s="136">
        <f>IFERROR(Informal_IAO-SUM(Informal_SubTotals),"")</f>
        <v>0</v>
      </c>
      <c r="Z37" s="1"/>
    </row>
    <row r="38" spans="1:26" ht="15.75" x14ac:dyDescent="0.3">
      <c r="A38" s="1"/>
      <c r="B38" s="88"/>
      <c r="C38" s="89">
        <v>0</v>
      </c>
      <c r="D38" s="86">
        <f>IFERROR(Informal__Annual_Interest_5/12,"")</f>
        <v>0</v>
      </c>
      <c r="E38" s="90">
        <v>0</v>
      </c>
      <c r="F38" s="91">
        <v>0</v>
      </c>
      <c r="G38" s="18" t="str">
        <f>IFERROR(PMT(Informal_Interest_5,Informal_PaymentTerm_5,Informal_InitialAmount_Owed_5),"")</f>
        <v/>
      </c>
      <c r="H38" s="92">
        <v>0</v>
      </c>
      <c r="I38" s="92">
        <v>0</v>
      </c>
      <c r="J38" s="92">
        <v>0</v>
      </c>
      <c r="K38" s="92">
        <v>0</v>
      </c>
      <c r="L38" s="92">
        <v>0</v>
      </c>
      <c r="M38" s="92">
        <v>0</v>
      </c>
      <c r="N38" s="92">
        <v>0</v>
      </c>
      <c r="O38" s="92">
        <v>0</v>
      </c>
      <c r="P38" s="92">
        <v>0</v>
      </c>
      <c r="Q38" s="92">
        <v>0</v>
      </c>
      <c r="R38" s="92">
        <v>0</v>
      </c>
      <c r="S38" s="92">
        <v>0</v>
      </c>
      <c r="T38" s="87" t="str">
        <f>IFERROR(SUM(Informal_TAP_5/Informal_TCC_5),"")</f>
        <v/>
      </c>
      <c r="U38" s="28" t="str">
        <f>IFERROR(-(Informal_Minimum_Installment_5*12),"")</f>
        <v/>
      </c>
      <c r="V38" s="31">
        <f>(Informal_TAP_5-Informal_InitialAmount_Owed_5)</f>
        <v>0</v>
      </c>
      <c r="W38" s="30" t="str">
        <f>IFERROR(-SUM(Informal_Minimum_Installment_5*Informal_PaymentTerm_5),"")</f>
        <v/>
      </c>
      <c r="X38" s="29">
        <f>IFERROR(SUM(Informal_5_payment),"")</f>
        <v>0</v>
      </c>
      <c r="Y38" s="2"/>
      <c r="Z38" s="1"/>
    </row>
    <row r="39" spans="1:26" ht="15.75" x14ac:dyDescent="0.3">
      <c r="A39" s="1"/>
      <c r="B39" s="38" t="s">
        <v>51</v>
      </c>
      <c r="C39" s="14">
        <f>IFERROR(SUM(Initial_amount_Owed_Informal),"")</f>
        <v>0</v>
      </c>
      <c r="D39" s="24"/>
      <c r="E39" s="24"/>
      <c r="F39" s="24"/>
      <c r="G39" s="15" t="s">
        <v>28</v>
      </c>
      <c r="H39" s="16">
        <f>IFERROR(SUM(FinScor_Jan_Informal),"")</f>
        <v>0</v>
      </c>
      <c r="I39" s="35">
        <f>IFERROR(SUM(FinScor_Feb_Informal),"")</f>
        <v>0</v>
      </c>
      <c r="J39" s="17">
        <f>IFERROR(SUM(FinScor_Mar_Informal),"")</f>
        <v>0</v>
      </c>
      <c r="K39" s="17">
        <f>IFERROR(SUM(FinScor_Apr_Informal),"")</f>
        <v>0</v>
      </c>
      <c r="L39" s="17">
        <f>IFERROR(SUM(FinScor_May_Informal),"")</f>
        <v>0</v>
      </c>
      <c r="M39" s="17">
        <f>IFERROR(SUM(FinScor_Jun_Informal),"")</f>
        <v>0</v>
      </c>
      <c r="N39" s="17">
        <f>IFERROR(SUM(FinScor_Jul_Informal),"")</f>
        <v>0</v>
      </c>
      <c r="O39" s="17">
        <f>IFERROR(SUM(FinScor_Aug_Informal),"")</f>
        <v>0</v>
      </c>
      <c r="P39" s="17">
        <f>IFERROR(SUM(FinScor_Sep_Informal),"")</f>
        <v>0</v>
      </c>
      <c r="Q39" s="17">
        <f>IFERROR(SUM(FinScor_Oct_Informal),"")</f>
        <v>0</v>
      </c>
      <c r="R39" s="17">
        <f>IFERROR(SUM(FinScor_Nov_Informal),"")</f>
        <v>0</v>
      </c>
      <c r="S39" s="17">
        <f>IFERROR(SUM(FinScor_Dec_Informal),"")</f>
        <v>0</v>
      </c>
      <c r="T39" s="102" t="str">
        <f>IFERROR(AVERAGE(percentage_to_goal_Informal),"")</f>
        <v/>
      </c>
      <c r="U39" s="47">
        <f>IFERROR(SUM(Annual_Payment_Informal),"")</f>
        <v>0</v>
      </c>
      <c r="V39" s="37">
        <f>IFERROR(SUM(Total_Amount_to_be_Paid_Informal),"")</f>
        <v>0</v>
      </c>
      <c r="W39" s="37">
        <f>IFERROR(SUM(Total_Cost_of_Credit_Informal),"")</f>
        <v>0</v>
      </c>
      <c r="X39" s="32">
        <f>IFERROR(SUM(Total_Amount_Paid_Informal),"")</f>
        <v>0</v>
      </c>
      <c r="Y39" s="2"/>
      <c r="Z39" s="1"/>
    </row>
    <row r="40" spans="1:26" ht="16.5" x14ac:dyDescent="0.3">
      <c r="A40" s="1"/>
      <c r="B40" s="22" t="s">
        <v>349</v>
      </c>
      <c r="C40" s="23"/>
      <c r="D40" s="23"/>
      <c r="E40" s="23"/>
      <c r="F40" s="23"/>
      <c r="G40" s="23"/>
      <c r="H40" s="27" t="s">
        <v>31</v>
      </c>
      <c r="I40" s="27" t="s">
        <v>32</v>
      </c>
      <c r="J40" s="27" t="s">
        <v>33</v>
      </c>
      <c r="K40" s="27" t="s">
        <v>34</v>
      </c>
      <c r="L40" s="27" t="s">
        <v>35</v>
      </c>
      <c r="M40" s="27" t="s">
        <v>36</v>
      </c>
      <c r="N40" s="27" t="s">
        <v>37</v>
      </c>
      <c r="O40" s="27" t="s">
        <v>38</v>
      </c>
      <c r="P40" s="27" t="s">
        <v>39</v>
      </c>
      <c r="Q40" s="27" t="s">
        <v>40</v>
      </c>
      <c r="R40" s="27" t="s">
        <v>41</v>
      </c>
      <c r="S40" s="27" t="s">
        <v>42</v>
      </c>
      <c r="T40" s="23"/>
      <c r="U40" s="23"/>
      <c r="V40" s="23"/>
      <c r="W40" s="23"/>
      <c r="X40" s="23"/>
      <c r="Y40" s="23"/>
      <c r="Z40" s="1"/>
    </row>
    <row r="41" spans="1:26" ht="27" x14ac:dyDescent="0.3">
      <c r="A41" s="1"/>
      <c r="B41" s="39" t="s">
        <v>43</v>
      </c>
      <c r="C41" s="40" t="s">
        <v>47</v>
      </c>
      <c r="D41" s="41" t="s">
        <v>358</v>
      </c>
      <c r="E41" s="41" t="s">
        <v>357</v>
      </c>
      <c r="F41" s="41" t="s">
        <v>44</v>
      </c>
      <c r="G41" s="41" t="s">
        <v>45</v>
      </c>
      <c r="H41" s="41" t="s">
        <v>46</v>
      </c>
      <c r="I41" s="41" t="s">
        <v>46</v>
      </c>
      <c r="J41" s="41" t="s">
        <v>46</v>
      </c>
      <c r="K41" s="41" t="s">
        <v>46</v>
      </c>
      <c r="L41" s="41" t="s">
        <v>46</v>
      </c>
      <c r="M41" s="41" t="s">
        <v>46</v>
      </c>
      <c r="N41" s="41" t="s">
        <v>46</v>
      </c>
      <c r="O41" s="41" t="s">
        <v>46</v>
      </c>
      <c r="P41" s="41" t="s">
        <v>46</v>
      </c>
      <c r="Q41" s="41" t="s">
        <v>46</v>
      </c>
      <c r="R41" s="41" t="s">
        <v>46</v>
      </c>
      <c r="S41" s="41" t="s">
        <v>46</v>
      </c>
      <c r="T41" s="41" t="s">
        <v>49</v>
      </c>
      <c r="U41" s="41" t="s">
        <v>53</v>
      </c>
      <c r="V41" s="42" t="s">
        <v>54</v>
      </c>
      <c r="W41" s="43" t="s">
        <v>55</v>
      </c>
      <c r="X41" s="44" t="s">
        <v>48</v>
      </c>
      <c r="Y41" s="12"/>
      <c r="Z41" s="1"/>
    </row>
    <row r="42" spans="1:26" ht="15.75" x14ac:dyDescent="0.3">
      <c r="A42" s="1"/>
      <c r="B42" s="88"/>
      <c r="C42" s="89">
        <v>400</v>
      </c>
      <c r="D42" s="86">
        <f>IFERROR(FriendsFamily__Annual_Interest_1/12,"")</f>
        <v>0</v>
      </c>
      <c r="E42" s="90">
        <v>0</v>
      </c>
      <c r="F42" s="91">
        <v>2</v>
      </c>
      <c r="G42" s="18">
        <f>IFERROR(PMT(Friends_family_Interest_1,Friends_family_PaymentTerm_1,Family_Friends_InitialAmount_Owed_1),"")</f>
        <v>-200</v>
      </c>
      <c r="H42" s="92">
        <v>0</v>
      </c>
      <c r="I42" s="93">
        <v>0</v>
      </c>
      <c r="J42" s="93">
        <v>0</v>
      </c>
      <c r="K42" s="93">
        <v>0</v>
      </c>
      <c r="L42" s="93">
        <v>0</v>
      </c>
      <c r="M42" s="93">
        <v>0</v>
      </c>
      <c r="N42" s="93">
        <v>0</v>
      </c>
      <c r="O42" s="93">
        <v>0</v>
      </c>
      <c r="P42" s="93">
        <v>0</v>
      </c>
      <c r="Q42" s="93">
        <v>0</v>
      </c>
      <c r="R42" s="93">
        <v>0</v>
      </c>
      <c r="S42" s="93">
        <v>0</v>
      </c>
      <c r="T42" s="87">
        <f>IFERROR(SUM(Friends_family_TAP_1/Friends_family_TCC_1),"")</f>
        <v>0</v>
      </c>
      <c r="U42" s="28">
        <f>IFERROR(-(Friends_family_Minimum_Installment_1*12),"")</f>
        <v>2400</v>
      </c>
      <c r="V42" s="31">
        <f>(Friends_family_TAP_1-Family_Friends_InitialAmount_Owed_1)</f>
        <v>-400</v>
      </c>
      <c r="W42" s="30">
        <f>IFERROR(-SUM(Friends_family_Minimum_Installment_1*Friends_family_PaymentTerm_1),"")</f>
        <v>400</v>
      </c>
      <c r="X42" s="29">
        <f>IFERROR(SUM(Friends_family_1_payment),"")</f>
        <v>0</v>
      </c>
      <c r="Y42" s="2"/>
      <c r="Z42" s="1"/>
    </row>
    <row r="43" spans="1:26" ht="15.75" x14ac:dyDescent="0.3">
      <c r="A43" s="1"/>
      <c r="B43" s="88"/>
      <c r="C43" s="89">
        <v>0</v>
      </c>
      <c r="D43" s="86">
        <f>IFERROR(FriendsFamily__Annual_Interest_2/12,"")</f>
        <v>0</v>
      </c>
      <c r="E43" s="90">
        <v>0</v>
      </c>
      <c r="F43" s="91">
        <v>1</v>
      </c>
      <c r="G43" s="18">
        <f>IFERROR(PMT(Friends_family_Interest_2,Friends_family_PaymentTerm_2,Family_Friends_InitialAmount_Owed_2),"")</f>
        <v>0</v>
      </c>
      <c r="H43" s="92">
        <v>0</v>
      </c>
      <c r="I43" s="93">
        <v>0</v>
      </c>
      <c r="J43" s="93">
        <v>0</v>
      </c>
      <c r="K43" s="93">
        <v>0</v>
      </c>
      <c r="L43" s="93">
        <v>0</v>
      </c>
      <c r="M43" s="93">
        <v>0</v>
      </c>
      <c r="N43" s="93">
        <v>0</v>
      </c>
      <c r="O43" s="93">
        <v>0</v>
      </c>
      <c r="P43" s="93">
        <v>0</v>
      </c>
      <c r="Q43" s="93">
        <v>0</v>
      </c>
      <c r="R43" s="93">
        <v>0</v>
      </c>
      <c r="S43" s="93">
        <v>0</v>
      </c>
      <c r="T43" s="87" t="str">
        <f>IFERROR(SUM(Friends_family_TAP_2/Friends_family_TCC_2),"")</f>
        <v/>
      </c>
      <c r="U43" s="28">
        <f>IFERROR(-(Friends_family_Minimum_Installment_2*12),"")</f>
        <v>0</v>
      </c>
      <c r="V43" s="31">
        <f>(Friends_family_TAP_2-Family_Friends_InitialAmount_Owed_2)</f>
        <v>0</v>
      </c>
      <c r="W43" s="30">
        <f>IFERROR(-SUM(Friends_family_Minimum_Installment_2*Friends_family_PaymentTerm_2),"")</f>
        <v>0</v>
      </c>
      <c r="X43" s="29">
        <f>IFERROR(SUM(Friends_family_2_payment),"")</f>
        <v>0</v>
      </c>
      <c r="Y43" s="13"/>
      <c r="Z43" s="1"/>
    </row>
    <row r="44" spans="1:26" ht="15.75" x14ac:dyDescent="0.3">
      <c r="A44" s="1"/>
      <c r="B44" s="88"/>
      <c r="C44" s="89">
        <v>0</v>
      </c>
      <c r="D44" s="86">
        <f>IFERROR(FriendsFamily__Annual_Interest_3/12,"")</f>
        <v>0</v>
      </c>
      <c r="E44" s="90">
        <v>0</v>
      </c>
      <c r="F44" s="91">
        <v>3</v>
      </c>
      <c r="G44" s="18">
        <f>IFERROR(PMT(Friends_family_Interest_3,Friends_family_PaymentTerm_3,Family_Friends_InitialAmount_Owed_3),"")</f>
        <v>0</v>
      </c>
      <c r="H44" s="92">
        <v>0</v>
      </c>
      <c r="I44" s="93">
        <v>0</v>
      </c>
      <c r="J44" s="93">
        <v>0</v>
      </c>
      <c r="K44" s="93">
        <v>0</v>
      </c>
      <c r="L44" s="93">
        <v>0</v>
      </c>
      <c r="M44" s="93">
        <v>0</v>
      </c>
      <c r="N44" s="93">
        <v>0</v>
      </c>
      <c r="O44" s="93">
        <v>0</v>
      </c>
      <c r="P44" s="93">
        <v>0</v>
      </c>
      <c r="Q44" s="93">
        <v>0</v>
      </c>
      <c r="R44" s="93">
        <v>0</v>
      </c>
      <c r="S44" s="93">
        <v>0</v>
      </c>
      <c r="T44" s="87" t="str">
        <f>IFERROR(SUM(Friends_family_TAP_3/Friends_family_TCC_3),"")</f>
        <v/>
      </c>
      <c r="U44" s="28">
        <f>IFERROR(-(Friends_family_Minimum_Installment_3*12),"")</f>
        <v>0</v>
      </c>
      <c r="V44" s="31">
        <f>(Friends_family_TAP_3-Family_Friends_InitialAmount_Owed_3)</f>
        <v>0</v>
      </c>
      <c r="W44" s="30">
        <f>IFERROR(-SUM(Friends_family_Minimum_Installment_3*Friends_family_PaymentTerm_3),"")</f>
        <v>0</v>
      </c>
      <c r="X44" s="29">
        <f>IFERROR(SUM(Friends_family_3_payment),"")</f>
        <v>0</v>
      </c>
      <c r="Y44" s="13" t="s">
        <v>50</v>
      </c>
      <c r="Z44" s="1"/>
    </row>
    <row r="45" spans="1:26" ht="15.75" x14ac:dyDescent="0.3">
      <c r="A45" s="1"/>
      <c r="B45" s="88"/>
      <c r="C45" s="89">
        <v>0</v>
      </c>
      <c r="D45" s="86">
        <f>IFERROR(FriendsFamily__Annual_Interest_4/12,"")</f>
        <v>0</v>
      </c>
      <c r="E45" s="90">
        <v>0</v>
      </c>
      <c r="F45" s="91">
        <v>4</v>
      </c>
      <c r="G45" s="18">
        <f>IFERROR(PMT(Friends_family_Interest_4,Friends_family_PaymentTerm_4,Family_Friends_InitialAmount_Owed_4),"")</f>
        <v>0</v>
      </c>
      <c r="H45" s="92">
        <v>0</v>
      </c>
      <c r="I45" s="93">
        <v>0</v>
      </c>
      <c r="J45" s="93">
        <v>0</v>
      </c>
      <c r="K45" s="93">
        <v>0</v>
      </c>
      <c r="L45" s="93">
        <v>0</v>
      </c>
      <c r="M45" s="93">
        <v>0</v>
      </c>
      <c r="N45" s="93">
        <v>0</v>
      </c>
      <c r="O45" s="93">
        <v>0</v>
      </c>
      <c r="P45" s="93">
        <v>0</v>
      </c>
      <c r="Q45" s="93">
        <v>0</v>
      </c>
      <c r="R45" s="93">
        <v>0</v>
      </c>
      <c r="S45" s="93">
        <v>0</v>
      </c>
      <c r="T45" s="87" t="str">
        <f>IFERROR(SUM(Friends_family_TAP_4/Friends_family_TCC_4),"")</f>
        <v/>
      </c>
      <c r="U45" s="28">
        <f>IFERROR(-(Friends_family_Minimum_Installment_4*12),"")</f>
        <v>0</v>
      </c>
      <c r="V45" s="31">
        <f>(Friends_family_TAP_4-Family_Friends_InitialAmount_Owed_4)</f>
        <v>0</v>
      </c>
      <c r="W45" s="30">
        <f>IFERROR(-SUM(Friends_family_Minimum_Installment_4*Friends_family_PaymentTerm_4),"")</f>
        <v>0</v>
      </c>
      <c r="X45" s="29">
        <f>IFERROR(SUM(Friends_family_4_payment),"")</f>
        <v>0</v>
      </c>
      <c r="Y45" s="136">
        <f>IFERROR(Friends_family_IAO-SUM(Friends_family_SubTotals),"")</f>
        <v>400</v>
      </c>
      <c r="Z45" s="1"/>
    </row>
    <row r="46" spans="1:26" ht="15.75" x14ac:dyDescent="0.3">
      <c r="A46" s="1"/>
      <c r="B46" s="88"/>
      <c r="C46" s="89">
        <v>0</v>
      </c>
      <c r="D46" s="86">
        <f>IFERROR(FriendsFamily__Annual_Interest_5/12,"")</f>
        <v>0</v>
      </c>
      <c r="E46" s="90">
        <v>0</v>
      </c>
      <c r="F46" s="91">
        <v>2</v>
      </c>
      <c r="G46" s="18">
        <f>IFERROR(PMT(Friends_family_Interest_5,Friends_family_PaymentTerm_5,Family_Friends_InitialAmount_Owed_5),"")</f>
        <v>0</v>
      </c>
      <c r="H46" s="92">
        <v>0</v>
      </c>
      <c r="I46" s="93">
        <v>0</v>
      </c>
      <c r="J46" s="93">
        <v>0</v>
      </c>
      <c r="K46" s="93">
        <v>0</v>
      </c>
      <c r="L46" s="93">
        <v>0</v>
      </c>
      <c r="M46" s="93">
        <v>0</v>
      </c>
      <c r="N46" s="93">
        <v>0</v>
      </c>
      <c r="O46" s="93">
        <v>0</v>
      </c>
      <c r="P46" s="93">
        <v>0</v>
      </c>
      <c r="Q46" s="93">
        <v>0</v>
      </c>
      <c r="R46" s="93">
        <v>0</v>
      </c>
      <c r="S46" s="93">
        <v>0</v>
      </c>
      <c r="T46" s="87" t="str">
        <f>IFERROR(SUM(Friends_family_TAP_5/Friends_family_TCC_5),"")</f>
        <v/>
      </c>
      <c r="U46" s="28">
        <f>IFERROR(-(Friends_family_Minimum_Installment_5*12),"")</f>
        <v>0</v>
      </c>
      <c r="V46" s="31">
        <f>(Friends_family_TAP_5-Family_Friends_InitialAmount_Owed_5)</f>
        <v>0</v>
      </c>
      <c r="W46" s="30">
        <f>IFERROR(-SUM(Friends_family_Minimum_Installment_5*Friends_family_PaymentTerm_5),"")</f>
        <v>0</v>
      </c>
      <c r="X46" s="29">
        <f>IFERROR(SUM(Friends_family_5_payment),"")</f>
        <v>0</v>
      </c>
      <c r="Y46" s="2"/>
      <c r="Z46" s="1"/>
    </row>
    <row r="47" spans="1:26" ht="15.75" x14ac:dyDescent="0.3">
      <c r="A47" s="1"/>
      <c r="B47" s="38" t="s">
        <v>51</v>
      </c>
      <c r="C47" s="14">
        <f>SUM(Initial_amount_Owed_Friends_family)</f>
        <v>400</v>
      </c>
      <c r="D47" s="24"/>
      <c r="E47" s="24"/>
      <c r="F47" s="24"/>
      <c r="G47" s="15" t="s">
        <v>28</v>
      </c>
      <c r="H47" s="16">
        <f>IFERROR(SUM(FinScor_Jan_Friends_family),"")</f>
        <v>0</v>
      </c>
      <c r="I47" s="16">
        <f>IFERROR(SUM(FinScor_Feb_Friends_family),"")</f>
        <v>0</v>
      </c>
      <c r="J47" s="16">
        <f>IFERROR(SUM(FinScor_Mar_Friends_family),"")</f>
        <v>0</v>
      </c>
      <c r="K47" s="16">
        <f>IFERROR(SUM(FinScor_Apr_Friends_family),"")</f>
        <v>0</v>
      </c>
      <c r="L47" s="16">
        <f>IFERROR(SUM(FinScor_May_Friends_family),"")</f>
        <v>0</v>
      </c>
      <c r="M47" s="16">
        <f>IFERROR(SUM(FinScor_Jun_Friends_family),"")</f>
        <v>0</v>
      </c>
      <c r="N47" s="16">
        <f>IFERROR(SUM(FinScor_Jul_Friends_family),"")</f>
        <v>0</v>
      </c>
      <c r="O47" s="16">
        <f>IFERROR(SUM(FinScor_Aug_Friends_family),"")</f>
        <v>0</v>
      </c>
      <c r="P47" s="16">
        <f>IFERROR(SUM(FinScor_Sep_Friends_family),"")</f>
        <v>0</v>
      </c>
      <c r="Q47" s="16">
        <f>IFERROR(SUM(FinScor_Oct_Friends_family),"")</f>
        <v>0</v>
      </c>
      <c r="R47" s="16">
        <f>IFERROR(SUM(FinScor_Nov_Friends_family),"")</f>
        <v>0</v>
      </c>
      <c r="S47" s="16">
        <f>IFERROR(SUM(FinScor_Dec_Friends_family),"")</f>
        <v>0</v>
      </c>
      <c r="T47" s="102">
        <f>IFERROR(AVERAGE(percentage_to_goal_Friends_family),"")</f>
        <v>0</v>
      </c>
      <c r="U47" s="47">
        <f>IFERROR(SUM(Annual_Payment_Friends_Family),"")</f>
        <v>2400</v>
      </c>
      <c r="V47" s="37">
        <f>IFERROR(SUM(Total_Amount_to_be_Paid_Friends_family),"")</f>
        <v>-400</v>
      </c>
      <c r="W47" s="37">
        <f>IFERROR(SUM(Total_Cost_of_Credit_Friends_family),"")</f>
        <v>400</v>
      </c>
      <c r="X47" s="32">
        <f>IFERROR(SUM(Total_Amount_Paid_Friends_family),"")</f>
        <v>0</v>
      </c>
      <c r="Y47" s="2"/>
      <c r="Z47" s="1"/>
    </row>
    <row r="48" spans="1:26" ht="15.75" x14ac:dyDescent="0.3">
      <c r="A48" s="1"/>
      <c r="B48" s="1"/>
      <c r="C48" s="1"/>
      <c r="D48" s="1"/>
      <c r="E48" s="1"/>
      <c r="F48" s="1"/>
      <c r="G48" s="1"/>
      <c r="H48" s="1"/>
      <c r="I48" s="134" t="s">
        <v>383</v>
      </c>
      <c r="J48" s="1"/>
      <c r="K48" s="1"/>
      <c r="L48" s="1"/>
      <c r="M48" s="1"/>
      <c r="N48" s="1"/>
      <c r="O48" s="1"/>
      <c r="P48" s="1"/>
      <c r="Q48" s="1"/>
      <c r="R48" s="1"/>
      <c r="S48" s="1"/>
      <c r="T48" s="1"/>
      <c r="U48" s="1"/>
      <c r="V48" s="1"/>
      <c r="W48" s="1"/>
      <c r="X48" s="1"/>
      <c r="Y48" s="1"/>
      <c r="Z48" s="1"/>
    </row>
    <row r="49" spans="1:26" ht="15.75"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sheetData>
  <sheetProtection password="8191" sheet="1" objects="1" scenarios="1" selectLockedCells="1"/>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H39"/>
  <sheetViews>
    <sheetView tabSelected="1" topLeftCell="A15" workbookViewId="0">
      <selection activeCell="C25" sqref="C25"/>
    </sheetView>
  </sheetViews>
  <sheetFormatPr defaultRowHeight="14.25" x14ac:dyDescent="0.3"/>
  <cols>
    <col min="2" max="2" width="26.140625" bestFit="1" customWidth="1"/>
    <col min="3" max="3" width="11.5703125" customWidth="1"/>
    <col min="7" max="7" width="9.7109375" customWidth="1"/>
    <col min="8" max="8" width="11.5703125" customWidth="1"/>
    <col min="9" max="9" width="9.85546875" customWidth="1"/>
    <col min="10" max="19" width="10.7109375" customWidth="1"/>
    <col min="20" max="20" width="9.5703125" customWidth="1"/>
    <col min="21" max="21" width="12.85546875" customWidth="1"/>
    <col min="22" max="22" width="12.5703125" customWidth="1"/>
    <col min="23" max="23" width="12.140625" customWidth="1"/>
    <col min="24" max="24" width="13.140625" customWidth="1"/>
    <col min="25" max="25" width="9.140625" customWidth="1"/>
  </cols>
  <sheetData>
    <row r="1" spans="1:32" ht="15.75" x14ac:dyDescent="0.3">
      <c r="A1" s="1"/>
      <c r="B1" s="1"/>
      <c r="C1" s="1"/>
      <c r="D1" s="1"/>
      <c r="E1" s="1"/>
      <c r="F1" s="1"/>
      <c r="G1" s="1"/>
      <c r="H1" s="1"/>
      <c r="I1" s="1"/>
      <c r="J1" s="1"/>
      <c r="K1" s="1"/>
      <c r="L1" s="1"/>
      <c r="M1" s="1"/>
      <c r="N1" s="1"/>
      <c r="O1" s="1"/>
      <c r="P1" s="1"/>
      <c r="Q1" s="1"/>
      <c r="R1" s="1"/>
      <c r="S1" s="1"/>
      <c r="T1" s="1"/>
      <c r="U1" s="1"/>
      <c r="V1" s="1"/>
      <c r="W1" s="1"/>
      <c r="X1" s="1"/>
      <c r="Y1" s="1"/>
    </row>
    <row r="2" spans="1:32" ht="15.75" x14ac:dyDescent="0.3">
      <c r="A2" s="1"/>
      <c r="B2" s="1"/>
      <c r="C2" s="1"/>
      <c r="D2" s="1"/>
      <c r="E2" s="1"/>
      <c r="F2" s="1"/>
      <c r="G2" s="1"/>
      <c r="H2" s="1"/>
      <c r="I2" s="1"/>
      <c r="J2" s="1"/>
      <c r="K2" s="1"/>
      <c r="L2" s="1"/>
      <c r="M2" s="1"/>
      <c r="N2" s="1"/>
      <c r="O2" s="1"/>
      <c r="P2" s="1"/>
      <c r="Q2" s="1"/>
      <c r="R2" s="1"/>
      <c r="S2" s="1"/>
      <c r="T2" s="1"/>
      <c r="U2" s="1"/>
      <c r="V2" s="1"/>
      <c r="W2" s="1"/>
      <c r="X2" s="1"/>
      <c r="Y2" s="1"/>
    </row>
    <row r="3" spans="1:32" ht="15.75" x14ac:dyDescent="0.3">
      <c r="A3" s="1"/>
      <c r="B3" s="2"/>
      <c r="C3" s="2"/>
      <c r="D3" s="2"/>
      <c r="E3" s="2"/>
      <c r="F3" s="2"/>
      <c r="G3" s="2"/>
      <c r="H3" s="2"/>
      <c r="I3" s="2"/>
      <c r="J3" s="2"/>
      <c r="K3" s="2"/>
      <c r="L3" s="2"/>
      <c r="M3" s="2"/>
      <c r="N3" s="2"/>
      <c r="O3" s="2"/>
      <c r="P3" s="2"/>
      <c r="Q3" s="2"/>
      <c r="R3" s="2"/>
      <c r="S3" s="2"/>
      <c r="T3" s="2"/>
      <c r="U3" s="2"/>
      <c r="V3" s="2"/>
      <c r="W3" s="2"/>
      <c r="X3" s="2"/>
      <c r="Y3" s="1"/>
    </row>
    <row r="4" spans="1:32" ht="15.75" x14ac:dyDescent="0.3">
      <c r="A4" s="1"/>
      <c r="B4" s="2"/>
      <c r="C4" s="2"/>
      <c r="D4" s="2"/>
      <c r="E4" s="2"/>
      <c r="F4" s="2"/>
      <c r="G4" s="2"/>
      <c r="H4" s="2"/>
      <c r="I4" s="2"/>
      <c r="J4" s="2"/>
      <c r="K4" s="2"/>
      <c r="L4" s="2"/>
      <c r="M4" s="2"/>
      <c r="N4" s="2"/>
      <c r="O4" s="2"/>
      <c r="P4" s="2"/>
      <c r="Q4" s="2"/>
      <c r="R4" s="2"/>
      <c r="S4" s="2"/>
      <c r="T4" s="2"/>
      <c r="U4" s="2"/>
      <c r="V4" s="2"/>
      <c r="W4" s="2"/>
      <c r="X4" s="2"/>
      <c r="Y4" s="1"/>
    </row>
    <row r="5" spans="1:32" ht="15.75" x14ac:dyDescent="0.3">
      <c r="A5" s="1"/>
      <c r="B5" s="2"/>
      <c r="C5" s="2"/>
      <c r="D5" s="2"/>
      <c r="E5" s="2"/>
      <c r="F5" s="2"/>
      <c r="G5" s="2"/>
      <c r="H5" s="2"/>
      <c r="I5" s="2"/>
      <c r="J5" s="2"/>
      <c r="K5" s="2"/>
      <c r="L5" s="2"/>
      <c r="M5" s="2"/>
      <c r="N5" s="2"/>
      <c r="O5" s="2"/>
      <c r="P5" s="2"/>
      <c r="Q5" s="2"/>
      <c r="R5" s="2"/>
      <c r="S5" s="2"/>
      <c r="T5" s="2"/>
      <c r="U5" s="2"/>
      <c r="V5" s="2"/>
      <c r="W5" s="2"/>
      <c r="X5" s="2"/>
      <c r="Y5" s="1"/>
    </row>
    <row r="6" spans="1:32" ht="15.75" x14ac:dyDescent="0.3">
      <c r="A6" s="1"/>
      <c r="B6" s="2"/>
      <c r="C6" s="2"/>
      <c r="D6" s="2"/>
      <c r="E6" s="2"/>
      <c r="F6" s="2"/>
      <c r="G6" s="2"/>
      <c r="H6" s="2"/>
      <c r="I6" s="2"/>
      <c r="J6" s="2"/>
      <c r="K6" s="2"/>
      <c r="L6" s="2"/>
      <c r="M6" s="2"/>
      <c r="N6" s="2"/>
      <c r="O6" s="2"/>
      <c r="P6" s="2"/>
      <c r="Q6" s="2"/>
      <c r="R6" s="2"/>
      <c r="S6" s="2"/>
      <c r="T6" s="2"/>
      <c r="U6" s="2"/>
      <c r="V6" s="2"/>
      <c r="W6" s="2"/>
      <c r="X6" s="2"/>
      <c r="Y6" s="1"/>
    </row>
    <row r="7" spans="1:32" ht="15.75" x14ac:dyDescent="0.3">
      <c r="A7" s="1"/>
      <c r="B7" s="2"/>
      <c r="C7" s="2"/>
      <c r="D7" s="2"/>
      <c r="E7" s="2"/>
      <c r="F7" s="2"/>
      <c r="G7" s="2"/>
      <c r="H7" s="2"/>
      <c r="I7" s="2"/>
      <c r="J7" s="2"/>
      <c r="K7" s="2"/>
      <c r="L7" s="2"/>
      <c r="M7" s="2"/>
      <c r="N7" s="2"/>
      <c r="O7" s="2"/>
      <c r="P7" s="2"/>
      <c r="Q7" s="2"/>
      <c r="R7" s="2"/>
      <c r="S7" s="2"/>
      <c r="T7" s="2"/>
      <c r="U7" s="2"/>
      <c r="V7" s="2"/>
      <c r="W7" s="2"/>
      <c r="X7" s="2"/>
      <c r="Y7" s="1"/>
    </row>
    <row r="8" spans="1:32" ht="15.75" x14ac:dyDescent="0.3">
      <c r="A8" s="1"/>
      <c r="B8" s="3"/>
      <c r="C8" s="4"/>
      <c r="D8" s="4"/>
      <c r="E8" s="4"/>
      <c r="F8" s="4"/>
      <c r="G8" s="4"/>
      <c r="H8" s="4"/>
      <c r="I8" s="4"/>
      <c r="J8" s="2"/>
      <c r="K8" s="2"/>
      <c r="L8" s="2"/>
      <c r="M8" s="2"/>
      <c r="N8" s="2"/>
      <c r="O8" s="2"/>
      <c r="P8" s="2"/>
      <c r="Q8" s="2"/>
      <c r="R8" s="2"/>
      <c r="S8" s="2"/>
      <c r="T8" s="2"/>
      <c r="U8" s="2"/>
      <c r="V8" s="2"/>
      <c r="W8" s="2"/>
      <c r="X8" s="2"/>
      <c r="Y8" s="1"/>
    </row>
    <row r="9" spans="1:32" ht="15.75" x14ac:dyDescent="0.3">
      <c r="A9" s="1"/>
      <c r="B9" s="5"/>
      <c r="C9" s="5"/>
      <c r="D9" s="5"/>
      <c r="E9" s="5"/>
      <c r="F9" s="5"/>
      <c r="G9" s="5"/>
      <c r="H9" s="5"/>
      <c r="I9" s="5"/>
      <c r="J9" s="5"/>
      <c r="K9" s="5"/>
      <c r="L9" s="5"/>
      <c r="M9" s="5"/>
      <c r="N9" s="5"/>
      <c r="O9" s="5"/>
      <c r="P9" s="5"/>
      <c r="Q9" s="5"/>
      <c r="R9" s="5"/>
      <c r="S9" s="5"/>
      <c r="T9" s="5"/>
      <c r="U9" s="5"/>
      <c r="V9" s="5"/>
      <c r="W9" s="5"/>
      <c r="X9" s="5"/>
      <c r="Y9" s="1"/>
    </row>
    <row r="10" spans="1:32" ht="15.75" x14ac:dyDescent="0.3">
      <c r="A10" s="1"/>
      <c r="B10" s="5"/>
      <c r="C10" s="5"/>
      <c r="D10" s="5"/>
      <c r="E10" s="5"/>
      <c r="F10" s="5"/>
      <c r="G10" s="5"/>
      <c r="H10" s="5"/>
      <c r="I10" s="5"/>
      <c r="J10" s="5"/>
      <c r="K10" s="5"/>
      <c r="L10" s="5"/>
      <c r="M10" s="5"/>
      <c r="N10" s="5"/>
      <c r="O10" s="5"/>
      <c r="P10" s="5"/>
      <c r="Q10" s="5"/>
      <c r="R10" s="5"/>
      <c r="S10" s="5"/>
      <c r="T10" s="5"/>
      <c r="U10" s="5"/>
      <c r="V10" s="5"/>
      <c r="W10" s="5"/>
      <c r="X10" s="5"/>
      <c r="Y10" s="1"/>
    </row>
    <row r="11" spans="1:32" ht="15.75" x14ac:dyDescent="0.3">
      <c r="A11" s="1"/>
      <c r="B11" s="5"/>
      <c r="C11" s="5"/>
      <c r="D11" s="5"/>
      <c r="E11" s="5"/>
      <c r="F11" s="5"/>
      <c r="G11" s="5"/>
      <c r="H11" s="5"/>
      <c r="I11" s="5"/>
      <c r="J11" s="5"/>
      <c r="K11" s="5"/>
      <c r="L11" s="5"/>
      <c r="M11" s="5"/>
      <c r="N11" s="5"/>
      <c r="O11" s="5"/>
      <c r="P11" s="5"/>
      <c r="Q11" s="5"/>
      <c r="R11" s="5"/>
      <c r="S11" s="5"/>
      <c r="T11" s="5"/>
      <c r="U11" s="5"/>
      <c r="V11" s="5"/>
      <c r="W11" s="5"/>
      <c r="X11" s="5"/>
      <c r="Y11" s="1"/>
    </row>
    <row r="12" spans="1:32" ht="15.75" x14ac:dyDescent="0.3">
      <c r="A12" s="1"/>
      <c r="B12" s="5"/>
      <c r="C12" s="5"/>
      <c r="D12" s="5"/>
      <c r="E12" s="5"/>
      <c r="F12" s="5"/>
      <c r="G12" s="5"/>
      <c r="H12" s="5"/>
      <c r="I12" s="5"/>
      <c r="J12" s="5"/>
      <c r="K12" s="5"/>
      <c r="L12" s="5"/>
      <c r="M12" s="5"/>
      <c r="N12" s="5"/>
      <c r="O12" s="5"/>
      <c r="P12" s="5"/>
      <c r="Q12" s="5"/>
      <c r="R12" s="5"/>
      <c r="S12" s="5"/>
      <c r="T12" s="5"/>
      <c r="U12" s="5"/>
      <c r="V12" s="5"/>
      <c r="W12" s="5"/>
      <c r="X12" s="5"/>
      <c r="Y12" s="1"/>
    </row>
    <row r="13" spans="1:32" ht="15.75" x14ac:dyDescent="0.3">
      <c r="A13" s="1"/>
      <c r="B13" s="5"/>
      <c r="C13" s="5"/>
      <c r="D13" s="5"/>
      <c r="E13" s="5"/>
      <c r="F13" s="5"/>
      <c r="G13" s="5"/>
      <c r="H13" s="5"/>
      <c r="I13" s="5"/>
      <c r="J13" s="5"/>
      <c r="K13" s="5"/>
      <c r="L13" s="5"/>
      <c r="M13" s="5"/>
      <c r="N13" s="5"/>
      <c r="O13" s="5"/>
      <c r="P13" s="5"/>
      <c r="Q13" s="5"/>
      <c r="R13" s="5"/>
      <c r="S13" s="5"/>
      <c r="T13" s="5"/>
      <c r="U13" s="5"/>
      <c r="V13" s="5"/>
      <c r="W13" s="5"/>
      <c r="X13" s="5"/>
      <c r="Y13" s="1"/>
    </row>
    <row r="14" spans="1:32" ht="15.75" x14ac:dyDescent="0.3">
      <c r="A14" s="1"/>
      <c r="B14" s="5"/>
      <c r="C14" s="5"/>
      <c r="D14" s="5"/>
      <c r="E14" s="5"/>
      <c r="F14" s="5"/>
      <c r="G14" s="5"/>
      <c r="H14" s="5"/>
      <c r="I14" s="5"/>
      <c r="J14" s="5"/>
      <c r="K14" s="5"/>
      <c r="L14" s="5"/>
      <c r="M14" s="5"/>
      <c r="N14" s="5"/>
      <c r="O14" s="5"/>
      <c r="P14" s="5"/>
      <c r="Q14" s="5"/>
      <c r="R14" s="5"/>
      <c r="S14" s="5"/>
      <c r="T14" s="5"/>
      <c r="U14" s="5"/>
      <c r="V14" s="5"/>
      <c r="W14" s="5"/>
      <c r="X14" s="5"/>
      <c r="Y14" s="1"/>
    </row>
    <row r="15" spans="1:32" ht="15.75" x14ac:dyDescent="0.3">
      <c r="A15" s="1"/>
      <c r="B15" s="5"/>
      <c r="C15" s="5"/>
      <c r="D15" s="5"/>
      <c r="E15" s="5"/>
      <c r="F15" s="5"/>
      <c r="G15" s="5"/>
      <c r="H15" s="5"/>
      <c r="I15" s="5"/>
      <c r="J15" s="5"/>
      <c r="K15" s="5"/>
      <c r="L15" s="5"/>
      <c r="M15" s="5"/>
      <c r="N15" s="5"/>
      <c r="O15" s="5"/>
      <c r="P15" s="5"/>
      <c r="Q15" s="5"/>
      <c r="R15" s="5"/>
      <c r="S15" s="5"/>
      <c r="T15" s="5"/>
      <c r="U15" s="5"/>
      <c r="V15" s="5"/>
      <c r="W15" s="5"/>
      <c r="X15" s="5"/>
      <c r="Y15" s="1"/>
    </row>
    <row r="16" spans="1:32" ht="15.75" x14ac:dyDescent="0.3">
      <c r="A16" s="1"/>
      <c r="B16" s="5"/>
      <c r="C16" s="5"/>
      <c r="D16" s="5"/>
      <c r="E16" s="5"/>
      <c r="F16" s="5"/>
      <c r="G16" s="5"/>
      <c r="H16" s="5"/>
      <c r="I16" s="5"/>
      <c r="J16" s="5"/>
      <c r="K16" s="5"/>
      <c r="L16" s="5"/>
      <c r="M16" s="5"/>
      <c r="N16" s="5"/>
      <c r="O16" s="5"/>
      <c r="P16" s="5"/>
      <c r="Q16" s="5"/>
      <c r="R16" s="5"/>
      <c r="S16" s="5"/>
      <c r="T16" s="5"/>
      <c r="U16" s="5"/>
      <c r="V16" s="5"/>
      <c r="W16" s="5"/>
      <c r="X16" s="5"/>
      <c r="Y16" s="1"/>
      <c r="AA16" s="109"/>
      <c r="AB16" s="109"/>
      <c r="AC16" s="109"/>
      <c r="AD16" s="109"/>
      <c r="AE16" s="109"/>
      <c r="AF16" s="109"/>
    </row>
    <row r="17" spans="1:34" ht="15.75" x14ac:dyDescent="0.3">
      <c r="A17" s="1"/>
      <c r="B17" s="5"/>
      <c r="C17" s="5"/>
      <c r="D17" s="5"/>
      <c r="E17" s="5"/>
      <c r="F17" s="5"/>
      <c r="G17" s="5"/>
      <c r="H17" s="5"/>
      <c r="I17" s="5"/>
      <c r="J17" s="5"/>
      <c r="K17" s="5"/>
      <c r="L17" s="5"/>
      <c r="M17" s="5"/>
      <c r="N17" s="5"/>
      <c r="O17" s="5"/>
      <c r="P17" s="5"/>
      <c r="Q17" s="5"/>
      <c r="R17" s="5"/>
      <c r="S17" s="5"/>
      <c r="T17" s="5"/>
      <c r="U17" s="5"/>
      <c r="V17" s="5"/>
      <c r="W17" s="5"/>
      <c r="X17" s="5"/>
      <c r="Y17" s="1"/>
      <c r="AA17" s="109"/>
      <c r="AB17" s="109"/>
      <c r="AC17" s="109"/>
      <c r="AD17" s="109"/>
      <c r="AE17" s="109"/>
      <c r="AF17" s="109"/>
    </row>
    <row r="18" spans="1:34" ht="15.75" x14ac:dyDescent="0.3">
      <c r="A18" s="1"/>
      <c r="B18" s="5"/>
      <c r="C18" s="5"/>
      <c r="D18" s="5"/>
      <c r="E18" s="5"/>
      <c r="F18" s="5"/>
      <c r="G18" s="5"/>
      <c r="H18" s="5"/>
      <c r="I18" s="5"/>
      <c r="J18" s="5"/>
      <c r="K18" s="5"/>
      <c r="L18" s="5"/>
      <c r="M18" s="5"/>
      <c r="N18" s="5"/>
      <c r="O18" s="5"/>
      <c r="P18" s="5"/>
      <c r="Q18" s="5"/>
      <c r="R18" s="5"/>
      <c r="S18" s="5"/>
      <c r="T18" s="5"/>
      <c r="U18" s="5"/>
      <c r="V18" s="5"/>
      <c r="W18" s="5"/>
      <c r="X18" s="5"/>
      <c r="Y18" s="1"/>
      <c r="AA18" s="109"/>
      <c r="AB18" s="109"/>
      <c r="AC18" s="109"/>
      <c r="AD18" s="109"/>
      <c r="AE18" s="109"/>
      <c r="AF18" s="109"/>
    </row>
    <row r="19" spans="1:34" ht="15.75" x14ac:dyDescent="0.3">
      <c r="A19" s="1"/>
      <c r="B19" s="5"/>
      <c r="C19" s="5"/>
      <c r="D19" s="5"/>
      <c r="E19" s="5"/>
      <c r="F19" s="5"/>
      <c r="G19" s="5"/>
      <c r="H19" s="5"/>
      <c r="I19" s="5"/>
      <c r="J19" s="5"/>
      <c r="K19" s="5"/>
      <c r="L19" s="5"/>
      <c r="M19" s="5"/>
      <c r="N19" s="5"/>
      <c r="O19" s="5"/>
      <c r="P19" s="5"/>
      <c r="Q19" s="5"/>
      <c r="R19" s="5"/>
      <c r="S19" s="5"/>
      <c r="T19" s="5"/>
      <c r="U19" s="5"/>
      <c r="V19" s="5"/>
      <c r="W19" s="5"/>
      <c r="X19" s="5"/>
      <c r="Y19" s="1"/>
      <c r="AA19" s="109"/>
      <c r="AB19" s="109"/>
      <c r="AC19" s="109"/>
      <c r="AD19" s="109"/>
      <c r="AE19" s="109"/>
      <c r="AF19" s="109"/>
    </row>
    <row r="20" spans="1:34" ht="17.25" x14ac:dyDescent="0.3">
      <c r="A20" s="1"/>
      <c r="B20" s="79" t="s">
        <v>352</v>
      </c>
      <c r="C20" s="76"/>
      <c r="D20" s="76"/>
      <c r="E20" s="5"/>
      <c r="F20" s="5"/>
      <c r="G20" s="5"/>
      <c r="H20" s="5"/>
      <c r="I20" s="5"/>
      <c r="J20" s="5"/>
      <c r="K20" s="5"/>
      <c r="L20" s="5"/>
      <c r="M20" s="5"/>
      <c r="N20" s="5"/>
      <c r="O20" s="5"/>
      <c r="P20" s="5"/>
      <c r="Q20" s="5"/>
      <c r="R20" s="5"/>
      <c r="S20" s="5"/>
      <c r="T20" s="5"/>
      <c r="U20" s="5"/>
      <c r="V20" s="5"/>
      <c r="W20" s="5"/>
      <c r="X20" s="5"/>
      <c r="Y20" s="1"/>
      <c r="AA20" s="109"/>
      <c r="AB20" s="109"/>
      <c r="AC20" s="109"/>
      <c r="AD20" s="109"/>
      <c r="AE20" s="109"/>
      <c r="AF20" s="109"/>
    </row>
    <row r="21" spans="1:34" ht="16.5" x14ac:dyDescent="0.3">
      <c r="A21" s="1"/>
      <c r="B21" s="274"/>
      <c r="C21" s="275"/>
      <c r="D21" s="275"/>
      <c r="E21" s="275"/>
      <c r="F21" s="275"/>
      <c r="G21" s="49"/>
      <c r="H21" s="53" t="s">
        <v>31</v>
      </c>
      <c r="I21" s="53" t="s">
        <v>32</v>
      </c>
      <c r="J21" s="53" t="s">
        <v>33</v>
      </c>
      <c r="K21" s="53" t="s">
        <v>34</v>
      </c>
      <c r="L21" s="53" t="s">
        <v>35</v>
      </c>
      <c r="M21" s="53" t="s">
        <v>36</v>
      </c>
      <c r="N21" s="53" t="s">
        <v>37</v>
      </c>
      <c r="O21" s="53" t="s">
        <v>38</v>
      </c>
      <c r="P21" s="53" t="s">
        <v>39</v>
      </c>
      <c r="Q21" s="53" t="s">
        <v>40</v>
      </c>
      <c r="R21" s="53" t="s">
        <v>41</v>
      </c>
      <c r="S21" s="54" t="s">
        <v>42</v>
      </c>
      <c r="T21" s="50"/>
      <c r="U21" s="50"/>
      <c r="V21" s="50"/>
      <c r="W21" s="50"/>
      <c r="X21" s="51"/>
      <c r="Y21" s="1"/>
      <c r="AA21" s="104"/>
      <c r="AB21" s="104"/>
      <c r="AC21" s="104"/>
      <c r="AD21" s="104"/>
      <c r="AE21" s="104"/>
      <c r="AF21" s="104"/>
      <c r="AG21" s="103"/>
      <c r="AH21" s="103"/>
    </row>
    <row r="22" spans="1:34" ht="98.25" x14ac:dyDescent="0.3">
      <c r="A22" s="1"/>
      <c r="B22" s="48" t="s">
        <v>350</v>
      </c>
      <c r="C22" s="52" t="s">
        <v>359</v>
      </c>
      <c r="D22" s="52" t="s">
        <v>353</v>
      </c>
      <c r="E22" s="52" t="s">
        <v>361</v>
      </c>
      <c r="F22" s="52" t="s">
        <v>360</v>
      </c>
      <c r="G22" s="52" t="s">
        <v>357</v>
      </c>
      <c r="H22" s="100" t="s">
        <v>351</v>
      </c>
      <c r="I22" s="100" t="s">
        <v>351</v>
      </c>
      <c r="J22" s="100" t="s">
        <v>351</v>
      </c>
      <c r="K22" s="100" t="s">
        <v>351</v>
      </c>
      <c r="L22" s="100" t="s">
        <v>351</v>
      </c>
      <c r="M22" s="100" t="s">
        <v>351</v>
      </c>
      <c r="N22" s="100" t="s">
        <v>351</v>
      </c>
      <c r="O22" s="100" t="s">
        <v>351</v>
      </c>
      <c r="P22" s="100" t="s">
        <v>351</v>
      </c>
      <c r="Q22" s="100" t="s">
        <v>351</v>
      </c>
      <c r="R22" s="100" t="s">
        <v>351</v>
      </c>
      <c r="S22" s="100" t="s">
        <v>351</v>
      </c>
      <c r="T22" s="52" t="s">
        <v>49</v>
      </c>
      <c r="U22" s="52" t="s">
        <v>354</v>
      </c>
      <c r="V22" s="52" t="s">
        <v>362</v>
      </c>
      <c r="W22" s="52" t="s">
        <v>355</v>
      </c>
      <c r="X22" s="52" t="s">
        <v>363</v>
      </c>
      <c r="Y22" s="1"/>
      <c r="AA22" s="104"/>
      <c r="AB22" s="104"/>
      <c r="AC22" s="104"/>
      <c r="AD22" s="104"/>
      <c r="AE22" s="104"/>
      <c r="AF22" s="104"/>
      <c r="AG22" s="103"/>
      <c r="AH22" s="103"/>
    </row>
    <row r="23" spans="1:34" ht="15.75" x14ac:dyDescent="0.3">
      <c r="A23" s="1"/>
      <c r="B23" s="94"/>
      <c r="C23" s="95">
        <v>0</v>
      </c>
      <c r="D23" s="96">
        <v>0</v>
      </c>
      <c r="E23" s="81" t="str">
        <f>IFERROR(PMT(Savings_Goal_Interest_1,Savings_Goal_Term_1,Savings_GoalAmount_1),"")</f>
        <v/>
      </c>
      <c r="F23" s="84">
        <f>IFERROR(Savings_Goal_AnnualInterest_1/12,"")</f>
        <v>0</v>
      </c>
      <c r="G23" s="98">
        <v>0</v>
      </c>
      <c r="H23" s="99">
        <v>0</v>
      </c>
      <c r="I23" s="99">
        <v>0</v>
      </c>
      <c r="J23" s="99">
        <v>0</v>
      </c>
      <c r="K23" s="99"/>
      <c r="L23" s="99"/>
      <c r="M23" s="99"/>
      <c r="N23" s="99"/>
      <c r="O23" s="99"/>
      <c r="P23" s="99"/>
      <c r="Q23" s="99"/>
      <c r="R23" s="99"/>
      <c r="S23" s="99"/>
      <c r="T23" s="84" t="str">
        <f>IFERROR(SUM(Savings_Goal_TotalAmount_Saved_1/Savings_Goal_MonthlySavings_Total_Value_Saving__1),"")</f>
        <v/>
      </c>
      <c r="U23" s="80" t="str">
        <f>IFERROR(-(Savings_Goal_MinSavings_1*12),"")</f>
        <v/>
      </c>
      <c r="V23" s="80" t="e">
        <f>(Savings_Goal_TotalAmount_Saved_1-Savings_Goal_MonthlySavings_Total_Value_Saving__1)</f>
        <v>#VALUE!</v>
      </c>
      <c r="W23" s="81" t="str">
        <f>IFERROR(-SUM(Savings_Goal_MinSavings_1*Savings_Goal_Term_1),"")</f>
        <v/>
      </c>
      <c r="X23" s="82">
        <f>IFERROR(SUM(Goals_1_Monthly_Savings),"")</f>
        <v>0</v>
      </c>
      <c r="Y23" s="1"/>
      <c r="AA23" s="104"/>
      <c r="AB23" s="104" t="s">
        <v>26</v>
      </c>
      <c r="AC23" s="104"/>
      <c r="AD23" s="104" t="s">
        <v>24</v>
      </c>
      <c r="AE23" s="104"/>
      <c r="AF23" s="104"/>
      <c r="AG23" s="103"/>
      <c r="AH23" s="103"/>
    </row>
    <row r="24" spans="1:34" ht="15.75" x14ac:dyDescent="0.3">
      <c r="A24" s="1"/>
      <c r="B24" s="94"/>
      <c r="C24" s="95">
        <v>0</v>
      </c>
      <c r="D24" s="96">
        <v>0</v>
      </c>
      <c r="E24" s="81" t="str">
        <f>IFERROR(PMT(Savings_Goal_Interest_2,Savings_Goal_Term_2,Savings_GoalAmount_2),"")</f>
        <v/>
      </c>
      <c r="F24" s="84">
        <f>IFERROR(Savings_Goal_AnnualInterest_2/12,"")</f>
        <v>0</v>
      </c>
      <c r="G24" s="98">
        <v>0</v>
      </c>
      <c r="H24" s="99">
        <v>0</v>
      </c>
      <c r="I24" s="99">
        <v>0</v>
      </c>
      <c r="J24" s="99">
        <v>0</v>
      </c>
      <c r="K24" s="99"/>
      <c r="L24" s="99"/>
      <c r="M24" s="99"/>
      <c r="N24" s="99"/>
      <c r="O24" s="99"/>
      <c r="P24" s="99"/>
      <c r="Q24" s="99"/>
      <c r="R24" s="99"/>
      <c r="S24" s="99"/>
      <c r="T24" s="84" t="str">
        <f>IFERROR(SUM(Savings_Goal_TotalAmount_Saved_2/Savings_Goal_MonthlySavings_Total_Value_Saving__2),"")</f>
        <v/>
      </c>
      <c r="U24" s="80" t="str">
        <f>IFERROR(-(Savings_Goal_MinSavings_2*12),"")</f>
        <v/>
      </c>
      <c r="V24" s="80" t="e">
        <f>(Savings_Goal_TotalAmount_Saved_2-Savings_Goal_MonthlySavings_Total_Value_Saving__2)</f>
        <v>#VALUE!</v>
      </c>
      <c r="W24" s="81" t="str">
        <f>IFERROR(-SUM(Savings_Goal_MinSavings_2*Savings_Goal_Term_2),"")</f>
        <v/>
      </c>
      <c r="X24" s="82">
        <f>IFERROR(SUM(Goals_2_Monthly_Savings),"")</f>
        <v>0</v>
      </c>
      <c r="Y24" s="1"/>
      <c r="AA24" s="104"/>
      <c r="AB24" s="106" t="str">
        <f>Goals_Total_perc_To_Goal</f>
        <v/>
      </c>
      <c r="AC24" s="104"/>
      <c r="AD24" s="106" t="str">
        <f>SavingsInvestments_Total_perc_To_Goal</f>
        <v/>
      </c>
      <c r="AE24" s="104"/>
      <c r="AF24" s="104"/>
      <c r="AG24" s="103"/>
      <c r="AH24" s="103"/>
    </row>
    <row r="25" spans="1:34" ht="15.75" x14ac:dyDescent="0.3">
      <c r="A25" s="1"/>
      <c r="B25" s="94"/>
      <c r="C25" s="95">
        <v>0</v>
      </c>
      <c r="D25" s="96">
        <v>0</v>
      </c>
      <c r="E25" s="81" t="str">
        <f>IFERROR(PMT(Savings_Goal_Interest_3,Savings_Goal_Term_3,Savings_GoalAmount_3),"")</f>
        <v/>
      </c>
      <c r="F25" s="84">
        <f>IFERROR(Savings_Goal_AnnualInterest_3/12,"")</f>
        <v>0</v>
      </c>
      <c r="G25" s="98">
        <v>0</v>
      </c>
      <c r="H25" s="99">
        <v>0</v>
      </c>
      <c r="I25" s="99">
        <v>0</v>
      </c>
      <c r="J25" s="99">
        <v>0</v>
      </c>
      <c r="K25" s="99"/>
      <c r="L25" s="99"/>
      <c r="M25" s="99"/>
      <c r="N25" s="99"/>
      <c r="O25" s="99"/>
      <c r="P25" s="99"/>
      <c r="Q25" s="99"/>
      <c r="R25" s="99"/>
      <c r="S25" s="99"/>
      <c r="T25" s="84" t="str">
        <f>IFERROR(SUM(Savings_Goal_TotalAmount_Saved_3/Savings_Goal_MonthlySavings_Total_Value_Saving__3),"")</f>
        <v/>
      </c>
      <c r="U25" s="80" t="str">
        <f>IFERROR(-(Savings_Goal_MinSavings_3*12),"")</f>
        <v/>
      </c>
      <c r="V25" s="80" t="e">
        <f>(Savings_Goal_TotalAmount_Saved_3-Savings_Goal_MonthlySavings_Total_Value_Saving__3)</f>
        <v>#VALUE!</v>
      </c>
      <c r="W25" s="81" t="str">
        <f>IFERROR(-SUM(Savings_Goal_MinSavings_3*Savings_Goal_Term_3),"")</f>
        <v/>
      </c>
      <c r="X25" s="82">
        <f>IFERROR(SUM(Goals_3_Monthly_Savings),"")</f>
        <v>0</v>
      </c>
      <c r="Y25" s="1"/>
      <c r="AA25" s="104"/>
      <c r="AB25" s="107" t="e">
        <f>MAX(100%-Actual_Perc_Goal)</f>
        <v>#VALUE!</v>
      </c>
      <c r="AC25" s="104"/>
      <c r="AD25" s="107" t="e">
        <f>MAX(100%-Actual_Perc_SavingInvestments)</f>
        <v>#VALUE!</v>
      </c>
      <c r="AE25" s="104"/>
      <c r="AF25" s="104"/>
      <c r="AG25" s="103"/>
      <c r="AH25" s="103"/>
    </row>
    <row r="26" spans="1:34" ht="15.75" x14ac:dyDescent="0.3">
      <c r="A26" s="1"/>
      <c r="B26" s="97"/>
      <c r="C26" s="95">
        <v>0</v>
      </c>
      <c r="D26" s="96">
        <v>0</v>
      </c>
      <c r="E26" s="81" t="str">
        <f>IFERROR(PMT(Savings_Goal_Interest_4,Savings_Goal_Term_4,Savings_GoalAmount_4),"")</f>
        <v/>
      </c>
      <c r="F26" s="84">
        <f>IFERROR(Savings_Goal_AnnualInterest_4/12,"")</f>
        <v>0</v>
      </c>
      <c r="G26" s="98">
        <v>0</v>
      </c>
      <c r="H26" s="99">
        <v>0</v>
      </c>
      <c r="I26" s="99">
        <v>0</v>
      </c>
      <c r="J26" s="99">
        <v>0</v>
      </c>
      <c r="K26" s="99"/>
      <c r="L26" s="99"/>
      <c r="M26" s="99"/>
      <c r="N26" s="99"/>
      <c r="O26" s="99"/>
      <c r="P26" s="99"/>
      <c r="Q26" s="99"/>
      <c r="R26" s="99"/>
      <c r="S26" s="99"/>
      <c r="T26" s="84" t="str">
        <f>IFERROR(SUM(Savings_Goal_TotalAmount_Saved_4/Savings_Goal_MonthlySavings_Total_Value_Saving__4),"")</f>
        <v/>
      </c>
      <c r="U26" s="80" t="str">
        <f>IFERROR(-(Savings_Goal_MinSavings_4*12),"")</f>
        <v/>
      </c>
      <c r="V26" s="80" t="e">
        <f>(Savings_Goal_TotalAmount_Saved_4-Savings_Goal_MonthlySavings_Total_Value_Saving__4)</f>
        <v>#VALUE!</v>
      </c>
      <c r="W26" s="81" t="str">
        <f>IFERROR(-SUM(Savings_Goal_MinSavings_4*Savings_Goal_Term_4),"")</f>
        <v/>
      </c>
      <c r="X26" s="82">
        <f>IFERROR(SUM(Goals_4_Monthly_Savings),"")</f>
        <v>0</v>
      </c>
      <c r="Y26" s="1"/>
      <c r="AA26" s="104"/>
      <c r="AB26" s="104"/>
      <c r="AC26" s="104"/>
      <c r="AD26" s="104"/>
      <c r="AE26" s="104"/>
      <c r="AF26" s="104"/>
      <c r="AG26" s="103"/>
      <c r="AH26" s="103"/>
    </row>
    <row r="27" spans="1:34" ht="15.75" x14ac:dyDescent="0.3">
      <c r="A27" s="1"/>
      <c r="B27" s="55" t="s">
        <v>356</v>
      </c>
      <c r="C27" s="56">
        <f>IFERROR(SUM(Goal_Amount_Total),"")</f>
        <v>0</v>
      </c>
      <c r="D27" s="57"/>
      <c r="E27" s="57"/>
      <c r="F27" s="58" t="s">
        <v>28</v>
      </c>
      <c r="G27" s="58"/>
      <c r="H27" s="59">
        <f>IFERROR(SUM(Goals_JanSavings),"")</f>
        <v>0</v>
      </c>
      <c r="I27" s="59">
        <f>IFERROR(SUM(Goals_FebSavings),"")</f>
        <v>0</v>
      </c>
      <c r="J27" s="59">
        <f>IFERROR(SUM(Goals_MarSavings),"")</f>
        <v>0</v>
      </c>
      <c r="K27" s="59">
        <f>IFERROR(SUM(Goals_AprSavings),"")</f>
        <v>0</v>
      </c>
      <c r="L27" s="59">
        <f>IFERROR(SUM(Goals_MaySavings),"")</f>
        <v>0</v>
      </c>
      <c r="M27" s="59">
        <f>IFERROR(SUM(Goals_JunSavings),"")</f>
        <v>0</v>
      </c>
      <c r="N27" s="59">
        <f>IFERROR(SUM(Goals_JulSavings),"")</f>
        <v>0</v>
      </c>
      <c r="O27" s="59">
        <f>IFERROR(SUM(Goals_AugSavings),"")</f>
        <v>0</v>
      </c>
      <c r="P27" s="59">
        <f>IFERROR(SUM(Goals_SepSavings),"")</f>
        <v>0</v>
      </c>
      <c r="Q27" s="59">
        <f>IFERROR(SUM(Goals_OctSavings),"")</f>
        <v>0</v>
      </c>
      <c r="R27" s="59">
        <f>IFERROR(SUM(Goals_NovSavings),"")</f>
        <v>0</v>
      </c>
      <c r="S27" s="59">
        <f>IFERROR(SUM(Goals_DecSavings),"")</f>
        <v>0</v>
      </c>
      <c r="T27" s="85" t="str">
        <f>IFERROR(AVERAGE(Goal_toPercentage),"")</f>
        <v/>
      </c>
      <c r="U27" s="83">
        <f>IFERROR(SUM(Goals_AnnualSavings),"")</f>
        <v>0</v>
      </c>
      <c r="V27" s="60" t="str">
        <f>IFERROR(SUM(Goals_SavingsTo_beMade),"")</f>
        <v/>
      </c>
      <c r="W27" s="60">
        <f>IFERROR(SUM(Goals_Total_ValueSavings),"")</f>
        <v>0</v>
      </c>
      <c r="X27" s="75">
        <f>IFERROR(SUM(Savings_Goal_Total_ValueAmount_Saved),"")</f>
        <v>0</v>
      </c>
      <c r="Y27" s="1"/>
      <c r="AA27" s="104"/>
      <c r="AB27" s="104"/>
      <c r="AC27" s="104"/>
      <c r="AD27" s="104"/>
      <c r="AE27" s="104"/>
      <c r="AF27" s="104"/>
      <c r="AG27" s="103"/>
      <c r="AH27" s="103"/>
    </row>
    <row r="28" spans="1:34" ht="15.75" x14ac:dyDescent="0.3">
      <c r="A28" s="1"/>
      <c r="B28" s="46"/>
      <c r="C28" s="46"/>
      <c r="D28" s="46"/>
      <c r="E28" s="46"/>
      <c r="F28" s="46"/>
      <c r="G28" s="46"/>
      <c r="H28" s="46"/>
      <c r="I28" s="46"/>
      <c r="J28" s="46"/>
      <c r="K28" s="46"/>
      <c r="L28" s="46"/>
      <c r="M28" s="46"/>
      <c r="N28" s="46"/>
      <c r="O28" s="46"/>
      <c r="P28" s="46"/>
      <c r="Q28" s="46"/>
      <c r="R28" s="46"/>
      <c r="S28" s="46"/>
      <c r="T28" s="46"/>
      <c r="U28" s="46"/>
      <c r="V28" s="46"/>
      <c r="W28" s="46"/>
      <c r="X28" s="46"/>
      <c r="Y28" s="1"/>
      <c r="AA28" s="104"/>
      <c r="AB28" s="104"/>
      <c r="AC28" s="104"/>
      <c r="AD28" s="104"/>
      <c r="AE28" s="104"/>
      <c r="AF28" s="104"/>
      <c r="AG28" s="103"/>
      <c r="AH28" s="103"/>
    </row>
    <row r="29" spans="1:34" ht="15.75" x14ac:dyDescent="0.3">
      <c r="A29" s="1"/>
      <c r="B29" s="46"/>
      <c r="C29" s="46"/>
      <c r="D29" s="46"/>
      <c r="E29" s="46"/>
      <c r="F29" s="46"/>
      <c r="G29" s="46"/>
      <c r="H29" s="46"/>
      <c r="I29" s="46"/>
      <c r="J29" s="46"/>
      <c r="K29" s="46"/>
      <c r="L29" s="46"/>
      <c r="M29" s="46"/>
      <c r="N29" s="46"/>
      <c r="O29" s="46"/>
      <c r="P29" s="46"/>
      <c r="Q29" s="46"/>
      <c r="R29" s="46"/>
      <c r="S29" s="46"/>
      <c r="T29" s="46"/>
      <c r="U29" s="46"/>
      <c r="V29" s="46"/>
      <c r="W29" s="46"/>
      <c r="X29" s="46"/>
      <c r="Y29" s="1"/>
      <c r="AA29" s="104"/>
      <c r="AB29" s="104"/>
      <c r="AC29" s="104"/>
      <c r="AD29" s="104"/>
      <c r="AE29" s="104"/>
      <c r="AF29" s="104"/>
      <c r="AG29" s="103"/>
      <c r="AH29" s="103"/>
    </row>
    <row r="30" spans="1:34" ht="17.25" x14ac:dyDescent="0.3">
      <c r="A30" s="1"/>
      <c r="B30" s="78" t="s">
        <v>24</v>
      </c>
      <c r="C30" s="77"/>
      <c r="D30" s="77"/>
      <c r="E30" s="5"/>
      <c r="F30" s="5"/>
      <c r="G30" s="5"/>
      <c r="H30" s="5"/>
      <c r="I30" s="5"/>
      <c r="J30" s="5"/>
      <c r="K30" s="5"/>
      <c r="L30" s="5"/>
      <c r="M30" s="5"/>
      <c r="N30" s="5"/>
      <c r="O30" s="5"/>
      <c r="P30" s="5"/>
      <c r="Q30" s="5"/>
      <c r="R30" s="5"/>
      <c r="S30" s="5"/>
      <c r="T30" s="5"/>
      <c r="U30" s="5"/>
      <c r="V30" s="5"/>
      <c r="W30" s="5"/>
      <c r="X30" s="5"/>
      <c r="Y30" s="1"/>
      <c r="AA30" s="109"/>
      <c r="AB30" s="109"/>
      <c r="AC30" s="109"/>
      <c r="AD30" s="109"/>
      <c r="AE30" s="109"/>
      <c r="AF30" s="109"/>
    </row>
    <row r="31" spans="1:34" ht="16.5" x14ac:dyDescent="0.3">
      <c r="A31" s="1"/>
      <c r="B31" s="276"/>
      <c r="C31" s="277"/>
      <c r="D31" s="277"/>
      <c r="E31" s="277"/>
      <c r="F31" s="278"/>
      <c r="G31" s="69"/>
      <c r="H31" s="66" t="s">
        <v>31</v>
      </c>
      <c r="I31" s="67" t="s">
        <v>32</v>
      </c>
      <c r="J31" s="67" t="s">
        <v>33</v>
      </c>
      <c r="K31" s="67" t="s">
        <v>34</v>
      </c>
      <c r="L31" s="67" t="s">
        <v>35</v>
      </c>
      <c r="M31" s="67" t="s">
        <v>36</v>
      </c>
      <c r="N31" s="67" t="s">
        <v>37</v>
      </c>
      <c r="O31" s="67" t="s">
        <v>38</v>
      </c>
      <c r="P31" s="67" t="s">
        <v>39</v>
      </c>
      <c r="Q31" s="67" t="s">
        <v>40</v>
      </c>
      <c r="R31" s="67" t="s">
        <v>41</v>
      </c>
      <c r="S31" s="68" t="s">
        <v>42</v>
      </c>
      <c r="T31" s="63"/>
      <c r="U31" s="64"/>
      <c r="V31" s="64"/>
      <c r="W31" s="64"/>
      <c r="X31" s="65"/>
      <c r="Y31" s="1"/>
      <c r="AA31" s="109"/>
      <c r="AB31" s="109"/>
      <c r="AC31" s="109"/>
      <c r="AD31" s="109"/>
      <c r="AE31" s="109"/>
      <c r="AF31" s="109"/>
    </row>
    <row r="32" spans="1:34" ht="98.25" x14ac:dyDescent="0.3">
      <c r="A32" s="1"/>
      <c r="B32" s="61" t="s">
        <v>1801</v>
      </c>
      <c r="C32" s="61" t="s">
        <v>359</v>
      </c>
      <c r="D32" s="61" t="s">
        <v>353</v>
      </c>
      <c r="E32" s="61" t="s">
        <v>361</v>
      </c>
      <c r="F32" s="61" t="s">
        <v>360</v>
      </c>
      <c r="G32" s="61" t="s">
        <v>357</v>
      </c>
      <c r="H32" s="101" t="s">
        <v>351</v>
      </c>
      <c r="I32" s="101" t="s">
        <v>351</v>
      </c>
      <c r="J32" s="101" t="s">
        <v>351</v>
      </c>
      <c r="K32" s="101" t="s">
        <v>351</v>
      </c>
      <c r="L32" s="101" t="s">
        <v>351</v>
      </c>
      <c r="M32" s="101" t="s">
        <v>351</v>
      </c>
      <c r="N32" s="101" t="s">
        <v>351</v>
      </c>
      <c r="O32" s="101" t="s">
        <v>351</v>
      </c>
      <c r="P32" s="101" t="s">
        <v>351</v>
      </c>
      <c r="Q32" s="101" t="s">
        <v>351</v>
      </c>
      <c r="R32" s="101" t="s">
        <v>351</v>
      </c>
      <c r="S32" s="101" t="s">
        <v>351</v>
      </c>
      <c r="T32" s="62" t="s">
        <v>49</v>
      </c>
      <c r="U32" s="62" t="s">
        <v>354</v>
      </c>
      <c r="V32" s="62" t="s">
        <v>362</v>
      </c>
      <c r="W32" s="62" t="s">
        <v>355</v>
      </c>
      <c r="X32" s="62" t="s">
        <v>363</v>
      </c>
      <c r="Y32" s="1"/>
      <c r="AA32" s="109"/>
      <c r="AB32" s="109"/>
      <c r="AC32" s="109"/>
      <c r="AD32" s="109"/>
      <c r="AE32" s="109"/>
      <c r="AF32" s="109"/>
    </row>
    <row r="33" spans="1:25" ht="15.75" x14ac:dyDescent="0.3">
      <c r="A33" s="1"/>
      <c r="B33" s="262"/>
      <c r="C33" s="263">
        <v>0</v>
      </c>
      <c r="D33" s="264">
        <v>0</v>
      </c>
      <c r="E33" s="81" t="str">
        <f>IFERROR(PMT(Savings_InvestmentsInterest_1,Savings_InvestmentsTerm_1,Savings_InvestmentsAmount_1),"")</f>
        <v/>
      </c>
      <c r="F33" s="84">
        <f>IFERROR(Savings_Investments_AnnualInterest_1/12,"")</f>
        <v>0</v>
      </c>
      <c r="G33" s="266">
        <v>0</v>
      </c>
      <c r="H33" s="99">
        <v>0</v>
      </c>
      <c r="I33" s="99">
        <v>0</v>
      </c>
      <c r="J33" s="99">
        <v>0</v>
      </c>
      <c r="K33" s="99">
        <v>0</v>
      </c>
      <c r="L33" s="99"/>
      <c r="M33" s="99"/>
      <c r="N33" s="99"/>
      <c r="O33" s="99"/>
      <c r="P33" s="99"/>
      <c r="Q33" s="99"/>
      <c r="R33" s="99"/>
      <c r="S33" s="99"/>
      <c r="T33" s="84" t="str">
        <f>IFERROR(SUM(Savings_Investments_TotalAmount_Saved_1/Savings_Investments_MonthlySavings_Total_Value_Saving__1),"")</f>
        <v/>
      </c>
      <c r="U33" s="81" t="str">
        <f>IFERROR(-(Savings_Investments_MinSavings_1*12),"")</f>
        <v/>
      </c>
      <c r="V33" s="81" t="e">
        <f>(Savings_Investments_MonthlySavings_Total_Value_Saving__1-Savings_Investments_TotalAmount_Saved_1)</f>
        <v>#VALUE!</v>
      </c>
      <c r="W33" s="81" t="str">
        <f>IFERROR(-SUM(Savings_Investments_MinSavings_1*Savings_InvestmentsTerm_1),"")</f>
        <v/>
      </c>
      <c r="X33" s="81">
        <f>IFERROR(SUM(SavingsInvestmensts_1_Monthly_Savings),"")</f>
        <v>0</v>
      </c>
      <c r="Y33" s="1"/>
    </row>
    <row r="34" spans="1:25" ht="15.75" x14ac:dyDescent="0.3">
      <c r="A34" s="1"/>
      <c r="B34" s="94"/>
      <c r="C34" s="263">
        <v>0</v>
      </c>
      <c r="D34" s="264">
        <v>0</v>
      </c>
      <c r="E34" s="81" t="str">
        <f>IFERROR(PMT(Savings_InvestmentsInterest_2,Savings_InvestmentsTerm_2,Savings_InvestmentsAmount_2),"")</f>
        <v/>
      </c>
      <c r="F34" s="84">
        <f>IFERROR(Savings_Investments_AnnualInterest_2/12,"")</f>
        <v>0</v>
      </c>
      <c r="G34" s="266">
        <v>0</v>
      </c>
      <c r="H34" s="99">
        <v>0</v>
      </c>
      <c r="I34" s="99">
        <v>0</v>
      </c>
      <c r="J34" s="99">
        <v>0</v>
      </c>
      <c r="K34" s="99"/>
      <c r="L34" s="99"/>
      <c r="M34" s="99"/>
      <c r="N34" s="99"/>
      <c r="O34" s="99"/>
      <c r="P34" s="99"/>
      <c r="Q34" s="99"/>
      <c r="R34" s="99"/>
      <c r="S34" s="99"/>
      <c r="T34" s="84" t="str">
        <f>IFERROR(SUM(Savings_Investments_TotalAmount_Saved_2/Savings_Investments_MonthlySavings_Total_Value_Saving__2),"")</f>
        <v/>
      </c>
      <c r="U34" s="81" t="str">
        <f>IFERROR(-(Savings_Investments_MinSavings_2*12),"")</f>
        <v/>
      </c>
      <c r="V34" s="81" t="e">
        <f>(Savings_Investments_MonthlySavings_Total_Value_Saving__2-Savings_Investments_TotalAmount_Saved_2)</f>
        <v>#VALUE!</v>
      </c>
      <c r="W34" s="81" t="str">
        <f>IFERROR(-SUM(Savings_Investments_MinSavings_2*Savings_InvestmentsTerm_2),"")</f>
        <v/>
      </c>
      <c r="X34" s="81">
        <f>IFERROR(SUM(SavingsInvestmensts_2_Monthly_Savings),"")</f>
        <v>0</v>
      </c>
      <c r="Y34" s="1"/>
    </row>
    <row r="35" spans="1:25" ht="15.75" x14ac:dyDescent="0.3">
      <c r="A35" s="1"/>
      <c r="B35" s="97"/>
      <c r="C35" s="263">
        <v>0</v>
      </c>
      <c r="D35" s="264">
        <v>0</v>
      </c>
      <c r="E35" s="81" t="str">
        <f>IFERROR(PMT(Savings_InvestmentsInterest_3,Savings_InvestmentsTerm_3,Savings_InvestmentsAmount_3),"")</f>
        <v/>
      </c>
      <c r="F35" s="84">
        <f>IFERROR(Savings_Investments_AnnualInterest_1/12,"")</f>
        <v>0</v>
      </c>
      <c r="G35" s="266">
        <v>0</v>
      </c>
      <c r="H35" s="99">
        <v>0</v>
      </c>
      <c r="I35" s="99">
        <v>0</v>
      </c>
      <c r="J35" s="99">
        <v>0</v>
      </c>
      <c r="K35" s="99"/>
      <c r="L35" s="99"/>
      <c r="M35" s="99"/>
      <c r="N35" s="99"/>
      <c r="O35" s="99"/>
      <c r="P35" s="99"/>
      <c r="Q35" s="99"/>
      <c r="R35" s="99"/>
      <c r="S35" s="99"/>
      <c r="T35" s="84" t="str">
        <f>IFERROR(SUM(Savings_Investments_TotalAmount_Saved_3/Savings_Investments_MonthlySavings_Total_Value_Saving__3),"")</f>
        <v/>
      </c>
      <c r="U35" s="81" t="str">
        <f>IFERROR(-(Savings_Investments_MinSavings_3*12),"")</f>
        <v/>
      </c>
      <c r="V35" s="81" t="e">
        <f>(Savings_Investments_MonthlySavings_Total_Value_Saving__3-Savings_Investments_TotalAmount_Saved_3)</f>
        <v>#VALUE!</v>
      </c>
      <c r="W35" s="81" t="str">
        <f>IFERROR(-SUM(Savings_Investments_MinSavings_3*Savings_InvestmentsTerm_3),"")</f>
        <v/>
      </c>
      <c r="X35" s="81">
        <f>IFERROR(SUM(SavingsInvestmensts_3_Monthly_Savings),"")</f>
        <v>0</v>
      </c>
      <c r="Y35" s="1"/>
    </row>
    <row r="36" spans="1:25" ht="15.75" x14ac:dyDescent="0.3">
      <c r="A36" s="1"/>
      <c r="B36" s="265"/>
      <c r="C36" s="263">
        <v>0</v>
      </c>
      <c r="D36" s="264">
        <v>0</v>
      </c>
      <c r="E36" s="81" t="str">
        <f>IFERROR(PMT(Savings_InvestmentsInterest_4,Savings_InvestmentsTerm_4,Savings_InvestmentsAmount_4),"")</f>
        <v/>
      </c>
      <c r="F36" s="84">
        <f>IFERROR(Savings_Investments_AnnualInterest_1/12,"")</f>
        <v>0</v>
      </c>
      <c r="G36" s="266">
        <v>0</v>
      </c>
      <c r="H36" s="99">
        <v>0</v>
      </c>
      <c r="I36" s="99">
        <v>0</v>
      </c>
      <c r="J36" s="99">
        <v>0</v>
      </c>
      <c r="K36" s="99"/>
      <c r="L36" s="99"/>
      <c r="M36" s="99"/>
      <c r="N36" s="99"/>
      <c r="O36" s="99"/>
      <c r="P36" s="99"/>
      <c r="Q36" s="99"/>
      <c r="R36" s="99"/>
      <c r="S36" s="99"/>
      <c r="T36" s="84" t="str">
        <f>IFERROR(SUM(Savings_Investments_TotalAmount_Saved_4/Savings_Investments_MonthlySavings_Total_Value_Saving__4),"")</f>
        <v/>
      </c>
      <c r="U36" s="81" t="str">
        <f>IFERROR(-(Savings_Investments_MinSavings_4*12),"")</f>
        <v/>
      </c>
      <c r="V36" s="81" t="e">
        <f>(Savings_Investments_MonthlySavings_Total_Value_Saving__4-Savings_Investments_TotalAmount_Saved_4)</f>
        <v>#VALUE!</v>
      </c>
      <c r="W36" s="81" t="str">
        <f>IFERROR(-SUM(Savings_Investments_MinSavings_4*Savings_InvestmentsTerm_4),"")</f>
        <v/>
      </c>
      <c r="X36" s="81">
        <f>IFERROR(SUM(SavingsInvestmensts_4_Monthly_Savings),"")</f>
        <v>0</v>
      </c>
      <c r="Y36" s="1"/>
    </row>
    <row r="37" spans="1:25" ht="15.75" x14ac:dyDescent="0.3">
      <c r="A37" s="1"/>
      <c r="B37" s="70" t="s">
        <v>356</v>
      </c>
      <c r="C37" s="71">
        <f>IFERROR(SUM(Savings_Amount_Total),"")</f>
        <v>0</v>
      </c>
      <c r="D37" s="72"/>
      <c r="E37" s="72"/>
      <c r="F37" s="73" t="s">
        <v>28</v>
      </c>
      <c r="G37" s="73"/>
      <c r="H37" s="74">
        <f>IFERROR(SUM(SavingsInvestments_JanSavings),"")</f>
        <v>0</v>
      </c>
      <c r="I37" s="74">
        <f>IFERROR(SUM(SavingsInvestments_FebSavings),"")</f>
        <v>0</v>
      </c>
      <c r="J37" s="74">
        <f>IFERROR(SUM(SavingsInvestments_MarSavings),"")</f>
        <v>0</v>
      </c>
      <c r="K37" s="74">
        <f>IFERROR(SUM(SavingsInvestments_JAprSavings),"")</f>
        <v>0</v>
      </c>
      <c r="L37" s="74">
        <f>IFERROR(SUM(SavingsInvestments_MaySavings),"")</f>
        <v>0</v>
      </c>
      <c r="M37" s="74">
        <f>IFERROR(SUM(SavingsInvestments_JunSavings),"")</f>
        <v>0</v>
      </c>
      <c r="N37" s="74">
        <f>IFERROR(SUM(SavingsInvestments_JulSavings),"")</f>
        <v>0</v>
      </c>
      <c r="O37" s="74">
        <f>IFERROR(SUM(SavingsInvestments_AugSavings),"")</f>
        <v>0</v>
      </c>
      <c r="P37" s="74">
        <f>IFERROR(SUM(SavingsInvestments_SepSavings),"")</f>
        <v>0</v>
      </c>
      <c r="Q37" s="74">
        <f>IFERROR(SUM(SavingsInvestments_OctSavings),"")</f>
        <v>0</v>
      </c>
      <c r="R37" s="74">
        <f>IFERROR(SUM(SavingsInvestments_NovSavings),"")</f>
        <v>0</v>
      </c>
      <c r="S37" s="74">
        <f>IFERROR(SUM(SavingsInvestments_DecSavings),"")</f>
        <v>0</v>
      </c>
      <c r="T37" s="85" t="str">
        <f>IFERROR(AVERAGE(SavingInvestment_toPercentage),"")</f>
        <v/>
      </c>
      <c r="U37" s="83">
        <f>IFERROR(SUM(SavingsInvestment_AnnualSavings),"")</f>
        <v>0</v>
      </c>
      <c r="V37" s="60" t="str">
        <f>IFERROR(SUM(Goals_SavingsInvestmentsTo_beMade),"")</f>
        <v/>
      </c>
      <c r="W37" s="60">
        <f>IFERROR(SUM(SavingsInvestment_Total_ValueSavings),"")</f>
        <v>0</v>
      </c>
      <c r="X37" s="75">
        <f>IFERROR(SUM(Savings_Investments_Total_ValueAmount_Saved),"")</f>
        <v>0</v>
      </c>
      <c r="Y37" s="1"/>
    </row>
    <row r="38" spans="1:25" ht="15.75"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5.75" x14ac:dyDescent="0.3">
      <c r="A39" s="1"/>
      <c r="B39" s="1"/>
      <c r="C39" s="1"/>
      <c r="D39" s="1"/>
      <c r="E39" s="1"/>
      <c r="F39" s="1"/>
      <c r="G39" s="1"/>
      <c r="H39" s="1"/>
      <c r="I39" s="1"/>
      <c r="J39" s="1"/>
      <c r="K39" s="1"/>
      <c r="L39" s="1"/>
      <c r="M39" s="1"/>
      <c r="N39" s="1"/>
      <c r="O39" s="1"/>
      <c r="P39" s="1"/>
      <c r="Q39" s="1"/>
      <c r="R39" s="1"/>
      <c r="S39" s="1"/>
      <c r="T39" s="1"/>
      <c r="U39" s="1"/>
      <c r="V39" s="1"/>
      <c r="W39" s="1"/>
      <c r="X39" s="1"/>
      <c r="Y39" s="1"/>
    </row>
  </sheetData>
  <sheetProtection password="8191" sheet="1" objects="1" scenarios="1" selectLockedCells="1"/>
  <mergeCells count="2">
    <mergeCell ref="B21:F21"/>
    <mergeCell ref="B31:F31"/>
  </mergeCells>
  <pageMargins left="0.7" right="0.7" top="0.75" bottom="0.75" header="0.3" footer="0.3"/>
  <pageSetup orientation="portrait" r:id="rId1"/>
  <ignoredErrors>
    <ignoredError sqref="F34" formula="1"/>
  </ignoredError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Y265"/>
  <sheetViews>
    <sheetView topLeftCell="A13" workbookViewId="0">
      <selection activeCell="S35" sqref="S35"/>
    </sheetView>
  </sheetViews>
  <sheetFormatPr defaultRowHeight="14.25" x14ac:dyDescent="0.3"/>
  <cols>
    <col min="3" max="3" width="11.7109375" bestFit="1" customWidth="1"/>
    <col min="4" max="4" width="16.28515625" customWidth="1"/>
    <col min="5" max="5" width="14.42578125" bestFit="1" customWidth="1"/>
    <col min="6" max="6" width="13.7109375" bestFit="1" customWidth="1"/>
    <col min="7" max="7" width="13" customWidth="1"/>
    <col min="8" max="8" width="13.7109375" bestFit="1" customWidth="1"/>
    <col min="9" max="9" width="4" customWidth="1"/>
    <col min="10" max="10" width="0.5703125" hidden="1" customWidth="1"/>
    <col min="11" max="11" width="15.85546875" customWidth="1"/>
    <col min="16" max="16" width="12.7109375" customWidth="1"/>
    <col min="18" max="18" width="10.140625" bestFit="1" customWidth="1"/>
    <col min="19" max="19" width="13.140625" bestFit="1" customWidth="1"/>
    <col min="20" max="20" width="12.140625" bestFit="1" customWidth="1"/>
  </cols>
  <sheetData>
    <row r="1" spans="1:25" ht="15.75" x14ac:dyDescent="0.3">
      <c r="A1" s="1"/>
      <c r="B1" s="1"/>
      <c r="C1" s="1"/>
      <c r="D1" s="1"/>
      <c r="E1" s="1"/>
      <c r="F1" s="1"/>
      <c r="G1" s="1"/>
      <c r="H1" s="1"/>
      <c r="I1" s="1"/>
      <c r="J1" s="1"/>
      <c r="K1" s="1"/>
      <c r="L1" s="1"/>
      <c r="M1" s="1"/>
      <c r="N1" s="1"/>
      <c r="O1" s="1"/>
      <c r="P1" s="1"/>
      <c r="Q1" s="1"/>
      <c r="R1" s="1"/>
      <c r="S1" s="1"/>
      <c r="T1" s="1"/>
      <c r="U1" s="1"/>
      <c r="V1" s="1"/>
      <c r="W1" s="1"/>
      <c r="X1" s="1"/>
      <c r="Y1" s="1"/>
    </row>
    <row r="2" spans="1:25" ht="15.75" x14ac:dyDescent="0.3">
      <c r="A2" s="1"/>
      <c r="B2" s="1"/>
      <c r="C2" s="1"/>
      <c r="D2" s="1"/>
      <c r="E2" s="1"/>
      <c r="F2" s="1"/>
      <c r="G2" s="1"/>
      <c r="H2" s="1"/>
      <c r="I2" s="1"/>
      <c r="J2" s="1"/>
      <c r="K2" s="1"/>
      <c r="L2" s="1"/>
      <c r="M2" s="1"/>
      <c r="N2" s="1"/>
      <c r="O2" s="1"/>
      <c r="P2" s="1"/>
      <c r="Q2" s="1"/>
      <c r="R2" s="1"/>
      <c r="S2" s="1"/>
      <c r="T2" s="1"/>
      <c r="U2" s="1"/>
      <c r="V2" s="1"/>
      <c r="W2" s="1"/>
      <c r="X2" s="1"/>
      <c r="Y2" s="1"/>
    </row>
    <row r="3" spans="1:25" ht="15.75" x14ac:dyDescent="0.3">
      <c r="A3" s="1"/>
      <c r="B3" s="2"/>
      <c r="C3" s="2"/>
      <c r="D3" s="2"/>
      <c r="E3" s="2"/>
      <c r="F3" s="2"/>
      <c r="G3" s="2"/>
      <c r="H3" s="2"/>
      <c r="I3" s="2"/>
      <c r="J3" s="2"/>
      <c r="K3" s="2"/>
      <c r="L3" s="2"/>
      <c r="M3" s="2"/>
      <c r="N3" s="2"/>
      <c r="O3" s="2"/>
      <c r="P3" s="2"/>
      <c r="Q3" s="2"/>
      <c r="R3" s="2"/>
      <c r="S3" s="2"/>
      <c r="T3" s="2"/>
      <c r="U3" s="2"/>
      <c r="V3" s="2"/>
      <c r="W3" s="2"/>
      <c r="X3" s="2"/>
      <c r="Y3" s="1"/>
    </row>
    <row r="4" spans="1:25" ht="15.75" x14ac:dyDescent="0.3">
      <c r="A4" s="1"/>
      <c r="B4" s="2"/>
      <c r="C4" s="2"/>
      <c r="D4" s="2"/>
      <c r="E4" s="2"/>
      <c r="F4" s="2"/>
      <c r="G4" s="2"/>
      <c r="H4" s="2"/>
      <c r="I4" s="2"/>
      <c r="J4" s="2"/>
      <c r="K4" s="2"/>
      <c r="L4" s="2"/>
      <c r="M4" s="2"/>
      <c r="N4" s="2"/>
      <c r="O4" s="2"/>
      <c r="P4" s="2"/>
      <c r="Q4" s="2"/>
      <c r="R4" s="2"/>
      <c r="S4" s="2"/>
      <c r="T4" s="2"/>
      <c r="U4" s="2"/>
      <c r="V4" s="2"/>
      <c r="W4" s="2"/>
      <c r="X4" s="2"/>
      <c r="Y4" s="1"/>
    </row>
    <row r="5" spans="1:25" ht="15.75" x14ac:dyDescent="0.3">
      <c r="A5" s="1"/>
      <c r="B5" s="2"/>
      <c r="C5" s="2"/>
      <c r="D5" s="2"/>
      <c r="E5" s="2"/>
      <c r="F5" s="2"/>
      <c r="G5" s="2"/>
      <c r="H5" s="2"/>
      <c r="I5" s="2"/>
      <c r="J5" s="2"/>
      <c r="K5" s="2"/>
      <c r="L5" s="2"/>
      <c r="M5" s="2"/>
      <c r="N5" s="2"/>
      <c r="O5" s="2"/>
      <c r="P5" s="2"/>
      <c r="Q5" s="2"/>
      <c r="R5" s="2"/>
      <c r="S5" s="2"/>
      <c r="T5" s="2"/>
      <c r="U5" s="2"/>
      <c r="V5" s="2"/>
      <c r="W5" s="2"/>
      <c r="X5" s="2"/>
      <c r="Y5" s="1"/>
    </row>
    <row r="6" spans="1:25" ht="15.75" x14ac:dyDescent="0.3">
      <c r="A6" s="1"/>
      <c r="B6" s="2"/>
      <c r="C6" s="2"/>
      <c r="D6" s="2"/>
      <c r="E6" s="2"/>
      <c r="F6" s="2"/>
      <c r="G6" s="2"/>
      <c r="H6" s="2"/>
      <c r="I6" s="2"/>
      <c r="J6" s="2"/>
      <c r="K6" s="2"/>
      <c r="L6" s="2"/>
      <c r="M6" s="2"/>
      <c r="N6" s="2"/>
      <c r="O6" s="2"/>
      <c r="P6" s="2"/>
      <c r="Q6" s="2"/>
      <c r="R6" s="2"/>
      <c r="S6" s="2"/>
      <c r="T6" s="2"/>
      <c r="U6" s="2"/>
      <c r="V6" s="2"/>
      <c r="W6" s="2"/>
      <c r="X6" s="2"/>
      <c r="Y6" s="1"/>
    </row>
    <row r="7" spans="1:25" ht="15.75" x14ac:dyDescent="0.3">
      <c r="A7" s="1"/>
      <c r="B7" s="2"/>
      <c r="C7" s="2"/>
      <c r="D7" s="2"/>
      <c r="E7" s="2"/>
      <c r="F7" s="2"/>
      <c r="G7" s="2"/>
      <c r="H7" s="2"/>
      <c r="I7" s="2"/>
      <c r="J7" s="2"/>
      <c r="K7" s="2"/>
      <c r="L7" s="2"/>
      <c r="M7" s="2"/>
      <c r="N7" s="2"/>
      <c r="O7" s="2"/>
      <c r="P7" s="2"/>
      <c r="Q7" s="2"/>
      <c r="R7" s="2"/>
      <c r="S7" s="2"/>
      <c r="T7" s="2"/>
      <c r="U7" s="2"/>
      <c r="V7" s="2"/>
      <c r="W7" s="2"/>
      <c r="X7" s="2"/>
      <c r="Y7" s="1"/>
    </row>
    <row r="8" spans="1:25" ht="15.75" x14ac:dyDescent="0.3">
      <c r="A8" s="1"/>
      <c r="B8" s="3"/>
      <c r="C8" s="4"/>
      <c r="D8" s="4"/>
      <c r="E8" s="4"/>
      <c r="F8" s="4"/>
      <c r="G8" s="4"/>
      <c r="H8" s="4"/>
      <c r="I8" s="4"/>
      <c r="J8" s="2"/>
      <c r="K8" s="2"/>
      <c r="L8" s="2"/>
      <c r="M8" s="2"/>
      <c r="N8" s="2"/>
      <c r="O8" s="2"/>
      <c r="P8" s="2"/>
      <c r="Q8" s="2"/>
      <c r="R8" s="2"/>
      <c r="S8" s="2"/>
      <c r="T8" s="2"/>
      <c r="U8" s="2"/>
      <c r="V8" s="2"/>
      <c r="W8" s="2"/>
      <c r="X8" s="2"/>
      <c r="Y8" s="1"/>
    </row>
    <row r="9" spans="1:25" ht="15.75" x14ac:dyDescent="0.3">
      <c r="A9" s="1"/>
      <c r="B9" s="5"/>
      <c r="C9" s="5"/>
      <c r="D9" s="5"/>
      <c r="E9" s="5"/>
      <c r="F9" s="5"/>
      <c r="G9" s="5"/>
      <c r="H9" s="5"/>
      <c r="I9" s="5"/>
      <c r="J9" s="5"/>
      <c r="K9" s="5"/>
      <c r="L9" s="5"/>
      <c r="M9" s="5"/>
      <c r="N9" s="5"/>
      <c r="O9" s="5"/>
      <c r="P9" s="5"/>
      <c r="Q9" s="5"/>
      <c r="R9" s="5"/>
      <c r="S9" s="5"/>
      <c r="T9" s="5"/>
      <c r="U9" s="5"/>
      <c r="V9" s="5"/>
      <c r="W9" s="5"/>
      <c r="X9" s="5"/>
      <c r="Y9" s="1"/>
    </row>
    <row r="10" spans="1:25" ht="15.75" x14ac:dyDescent="0.3">
      <c r="A10" s="1"/>
      <c r="B10" s="5"/>
      <c r="C10" s="5"/>
      <c r="D10" s="5"/>
      <c r="E10" s="5"/>
      <c r="F10" s="5"/>
      <c r="G10" s="5"/>
      <c r="H10" s="5"/>
      <c r="I10" s="5"/>
      <c r="J10" s="5"/>
      <c r="K10" s="5"/>
      <c r="L10" s="5"/>
      <c r="M10" s="5"/>
      <c r="N10" s="5"/>
      <c r="O10" s="5"/>
      <c r="P10" s="5"/>
      <c r="Q10" s="5"/>
      <c r="R10" s="5"/>
      <c r="S10" s="5"/>
      <c r="T10" s="5"/>
      <c r="U10" s="5"/>
      <c r="V10" s="5"/>
      <c r="W10" s="5"/>
      <c r="X10" s="5"/>
      <c r="Y10" s="1"/>
    </row>
    <row r="11" spans="1:25" ht="15.75" x14ac:dyDescent="0.3">
      <c r="A11" s="1"/>
      <c r="B11" s="5"/>
      <c r="C11" s="5"/>
      <c r="D11" s="5"/>
      <c r="E11" s="5"/>
      <c r="F11" s="5"/>
      <c r="G11" s="5"/>
      <c r="H11" s="5"/>
      <c r="I11" s="5"/>
      <c r="J11" s="5"/>
      <c r="K11" s="5"/>
      <c r="L11" s="5"/>
      <c r="M11" s="5"/>
      <c r="N11" s="5"/>
      <c r="O11" s="5"/>
      <c r="P11" s="5"/>
      <c r="Q11" s="5"/>
      <c r="R11" s="5"/>
      <c r="S11" s="5"/>
      <c r="T11" s="5"/>
      <c r="U11" s="5"/>
      <c r="V11" s="5"/>
      <c r="W11" s="5"/>
      <c r="X11" s="5"/>
      <c r="Y11" s="1"/>
    </row>
    <row r="12" spans="1:25" ht="15.75" x14ac:dyDescent="0.3">
      <c r="A12" s="1"/>
      <c r="B12" s="5"/>
      <c r="C12" s="5"/>
      <c r="D12" s="5"/>
      <c r="E12" s="5"/>
      <c r="F12" s="5"/>
      <c r="G12" s="5"/>
      <c r="H12" s="5"/>
      <c r="I12" s="5"/>
      <c r="J12" s="5"/>
      <c r="K12" s="5"/>
      <c r="L12" s="5"/>
      <c r="M12" s="5"/>
      <c r="N12" s="5"/>
      <c r="O12" s="5"/>
      <c r="P12" s="5"/>
      <c r="Q12" s="5"/>
      <c r="R12" s="5"/>
      <c r="S12" s="5"/>
      <c r="T12" s="5"/>
      <c r="U12" s="5"/>
      <c r="V12" s="5"/>
      <c r="W12" s="5"/>
      <c r="X12" s="5"/>
      <c r="Y12" s="1"/>
    </row>
    <row r="13" spans="1:25" ht="15.75" x14ac:dyDescent="0.3">
      <c r="A13" s="1"/>
      <c r="B13" s="5"/>
      <c r="C13" s="5"/>
      <c r="D13" s="5"/>
      <c r="E13" s="5"/>
      <c r="F13" s="5"/>
      <c r="G13" s="5"/>
      <c r="H13" s="5"/>
      <c r="I13" s="5"/>
      <c r="J13" s="5"/>
      <c r="K13" s="5"/>
      <c r="L13" s="5"/>
      <c r="M13" s="5"/>
      <c r="N13" s="5"/>
      <c r="O13" s="5"/>
      <c r="P13" s="5"/>
      <c r="Q13" s="5"/>
      <c r="R13" s="5"/>
      <c r="S13" s="5"/>
      <c r="T13" s="5"/>
      <c r="U13" s="5"/>
      <c r="V13" s="5"/>
      <c r="W13" s="5"/>
      <c r="X13" s="5"/>
      <c r="Y13" s="1"/>
    </row>
    <row r="14" spans="1:25" ht="15.75" x14ac:dyDescent="0.3">
      <c r="A14" s="1"/>
      <c r="B14" s="5"/>
      <c r="C14" s="5"/>
      <c r="D14" s="5"/>
      <c r="E14" s="5"/>
      <c r="F14" s="5"/>
      <c r="G14" s="5"/>
      <c r="H14" s="5"/>
      <c r="I14" s="5"/>
      <c r="J14" s="5"/>
      <c r="K14" s="5"/>
      <c r="L14" s="5"/>
      <c r="M14" s="5"/>
      <c r="N14" s="5"/>
      <c r="O14" s="5"/>
      <c r="P14" s="5"/>
      <c r="Q14" s="5"/>
      <c r="R14" s="5"/>
      <c r="S14" s="5"/>
      <c r="T14" s="5"/>
      <c r="U14" s="5"/>
      <c r="V14" s="5"/>
      <c r="W14" s="5"/>
      <c r="X14" s="5"/>
      <c r="Y14" s="1"/>
    </row>
    <row r="15" spans="1:25" ht="15.75" x14ac:dyDescent="0.3">
      <c r="A15" s="1"/>
      <c r="B15" s="5"/>
      <c r="C15" s="5"/>
      <c r="D15" s="5"/>
      <c r="E15" s="5"/>
      <c r="F15" s="5"/>
      <c r="G15" s="5"/>
      <c r="H15" s="5"/>
      <c r="I15" s="5"/>
      <c r="J15" s="5"/>
      <c r="K15" s="5"/>
      <c r="L15" s="5"/>
      <c r="M15" s="5"/>
      <c r="N15" s="5"/>
      <c r="O15" s="5"/>
      <c r="P15" s="5"/>
      <c r="Q15" s="5"/>
      <c r="R15" s="5"/>
      <c r="S15" s="5"/>
      <c r="T15" s="5"/>
      <c r="U15" s="5"/>
      <c r="V15" s="5"/>
      <c r="W15" s="5"/>
      <c r="X15" s="5"/>
      <c r="Y15" s="1"/>
    </row>
    <row r="16" spans="1:25" ht="15.75" x14ac:dyDescent="0.3">
      <c r="A16" s="1"/>
      <c r="B16" s="5"/>
      <c r="C16" s="5"/>
      <c r="D16" s="5"/>
      <c r="E16" s="5"/>
      <c r="F16" s="5"/>
      <c r="G16" s="5"/>
      <c r="H16" s="5"/>
      <c r="I16" s="5"/>
      <c r="J16" s="5"/>
      <c r="K16" s="5"/>
      <c r="L16" s="5"/>
      <c r="M16" s="5"/>
      <c r="N16" s="5"/>
      <c r="O16" s="5"/>
      <c r="P16" s="5"/>
      <c r="Q16" s="5"/>
      <c r="R16" s="5"/>
      <c r="S16" s="5"/>
      <c r="T16" s="5"/>
      <c r="U16" s="5"/>
      <c r="V16" s="5"/>
      <c r="W16" s="5"/>
      <c r="X16" s="5"/>
      <c r="Y16" s="1"/>
    </row>
    <row r="17" spans="1:25" ht="15.75" x14ac:dyDescent="0.3">
      <c r="A17" s="1"/>
      <c r="B17" s="5"/>
      <c r="C17" s="5"/>
      <c r="D17" s="5"/>
      <c r="E17" s="5"/>
      <c r="F17" s="5"/>
      <c r="G17" s="5"/>
      <c r="H17" s="5"/>
      <c r="I17" s="5"/>
      <c r="J17" s="5"/>
      <c r="K17" s="5"/>
      <c r="L17" s="5"/>
      <c r="M17" s="5"/>
      <c r="N17" s="5"/>
      <c r="O17" s="5"/>
      <c r="P17" s="5"/>
      <c r="Q17" s="5"/>
      <c r="R17" s="5"/>
      <c r="S17" s="5"/>
      <c r="T17" s="5"/>
      <c r="U17" s="5"/>
      <c r="V17" s="5"/>
      <c r="W17" s="5"/>
      <c r="X17" s="5"/>
      <c r="Y17" s="1"/>
    </row>
    <row r="18" spans="1:25" ht="15.75" x14ac:dyDescent="0.3">
      <c r="A18" s="1"/>
      <c r="B18" s="5"/>
      <c r="C18" s="5"/>
      <c r="D18" s="5"/>
      <c r="E18" s="5"/>
      <c r="F18" s="5"/>
      <c r="G18" s="5"/>
      <c r="H18" s="5"/>
      <c r="I18" s="5"/>
      <c r="J18" s="5"/>
      <c r="K18" s="5"/>
      <c r="L18" s="5"/>
      <c r="M18" s="5"/>
      <c r="N18" s="5"/>
      <c r="O18" s="5"/>
      <c r="P18" s="5"/>
      <c r="Q18" s="5"/>
      <c r="R18" s="5"/>
      <c r="S18" s="5"/>
      <c r="T18" s="5"/>
      <c r="U18" s="5"/>
      <c r="V18" s="5"/>
      <c r="W18" s="5"/>
      <c r="X18" s="5"/>
      <c r="Y18" s="1"/>
    </row>
    <row r="19" spans="1:25" ht="15.75" x14ac:dyDescent="0.3">
      <c r="A19" s="1"/>
      <c r="B19" s="5"/>
      <c r="C19" s="5"/>
      <c r="D19" s="5"/>
      <c r="E19" s="5"/>
      <c r="F19" s="5"/>
      <c r="G19" s="5"/>
      <c r="H19" s="5"/>
      <c r="I19" s="5"/>
      <c r="J19" s="5"/>
      <c r="K19" s="5"/>
      <c r="L19" s="5"/>
      <c r="M19" s="5"/>
      <c r="N19" s="5"/>
      <c r="O19" s="5"/>
      <c r="P19" s="5"/>
      <c r="Q19" s="5"/>
      <c r="R19" s="5"/>
      <c r="S19" s="5"/>
      <c r="T19" s="5"/>
      <c r="U19" s="5"/>
      <c r="V19" s="5"/>
      <c r="W19" s="5"/>
      <c r="X19" s="5"/>
      <c r="Y19" s="1"/>
    </row>
    <row r="20" spans="1:25" ht="17.25" x14ac:dyDescent="0.3">
      <c r="A20" s="1"/>
      <c r="B20" s="224" t="s">
        <v>1769</v>
      </c>
      <c r="C20" s="225"/>
      <c r="D20" s="225"/>
      <c r="E20" s="225"/>
      <c r="F20" s="225"/>
      <c r="G20" s="225"/>
      <c r="H20" s="5"/>
      <c r="I20" s="5"/>
      <c r="J20" s="5"/>
      <c r="K20" s="5"/>
      <c r="L20" s="5"/>
      <c r="M20" s="5"/>
      <c r="N20" s="228" t="s">
        <v>1759</v>
      </c>
      <c r="O20" s="229"/>
      <c r="P20" s="229"/>
      <c r="Q20" s="229"/>
      <c r="R20" s="229"/>
      <c r="S20" s="229"/>
      <c r="T20" s="229"/>
      <c r="U20" s="5"/>
      <c r="V20" s="5"/>
      <c r="W20" s="5"/>
      <c r="X20" s="5"/>
      <c r="Y20" s="1"/>
    </row>
    <row r="21" spans="1:25" ht="15.75" x14ac:dyDescent="0.3">
      <c r="A21" s="1"/>
      <c r="B21" s="279" t="s">
        <v>1762</v>
      </c>
      <c r="C21" s="279"/>
      <c r="D21" s="279"/>
      <c r="E21" s="279"/>
      <c r="F21" s="279"/>
      <c r="G21" s="279"/>
      <c r="H21" s="1"/>
      <c r="I21" s="1"/>
      <c r="J21" s="1"/>
      <c r="K21" s="1"/>
      <c r="L21" s="1"/>
      <c r="M21" s="1"/>
      <c r="N21" s="226"/>
      <c r="O21" s="226"/>
      <c r="P21" s="242"/>
      <c r="Q21" s="226"/>
      <c r="R21" s="226"/>
      <c r="S21" s="226"/>
      <c r="T21" s="226"/>
      <c r="U21" s="226"/>
      <c r="V21" s="226"/>
      <c r="W21" s="226"/>
      <c r="X21" s="226"/>
      <c r="Y21" s="1"/>
    </row>
    <row r="22" spans="1:25" ht="15.75" x14ac:dyDescent="0.3">
      <c r="A22" s="1"/>
      <c r="B22" s="231" t="s">
        <v>1764</v>
      </c>
      <c r="C22" s="231" t="s">
        <v>1761</v>
      </c>
      <c r="D22" s="231" t="s">
        <v>1765</v>
      </c>
      <c r="E22" s="231" t="s">
        <v>1766</v>
      </c>
      <c r="F22" s="231" t="s">
        <v>50</v>
      </c>
      <c r="G22" s="231" t="s">
        <v>1767</v>
      </c>
      <c r="H22" s="231" t="s">
        <v>1768</v>
      </c>
      <c r="I22" s="1"/>
      <c r="J22" s="1"/>
      <c r="K22" s="227"/>
      <c r="L22" s="1"/>
      <c r="M22" s="1"/>
      <c r="N22" s="226"/>
      <c r="O22" s="226"/>
      <c r="P22" s="226"/>
      <c r="Q22" s="226"/>
      <c r="R22" s="226"/>
      <c r="S22" s="226"/>
      <c r="T22" s="226"/>
      <c r="U22" s="226"/>
      <c r="V22" s="226"/>
      <c r="W22" s="226"/>
      <c r="X22" s="226"/>
      <c r="Y22" s="1"/>
    </row>
    <row r="23" spans="1:25" ht="15.75" x14ac:dyDescent="0.3">
      <c r="A23" s="1"/>
      <c r="B23" s="280" t="s">
        <v>1770</v>
      </c>
      <c r="C23" s="280"/>
      <c r="D23" s="226"/>
      <c r="E23" s="226"/>
      <c r="F23" s="226"/>
      <c r="G23" s="226"/>
      <c r="H23" s="234">
        <v>0</v>
      </c>
      <c r="I23" s="1"/>
      <c r="J23" s="1"/>
      <c r="K23" s="227"/>
      <c r="L23" s="1"/>
      <c r="M23" s="1"/>
      <c r="N23" s="280" t="s">
        <v>1770</v>
      </c>
      <c r="O23" s="280"/>
      <c r="P23" s="226"/>
      <c r="Q23" s="226"/>
      <c r="R23" s="226"/>
      <c r="S23" s="226"/>
      <c r="T23" s="234">
        <v>0</v>
      </c>
      <c r="U23" s="226"/>
      <c r="V23" s="226"/>
      <c r="W23" s="226"/>
      <c r="X23" s="226"/>
      <c r="Y23" s="1"/>
    </row>
    <row r="24" spans="1:25" ht="15.75" x14ac:dyDescent="0.3">
      <c r="A24" s="1"/>
      <c r="B24" s="235" t="s">
        <v>1758</v>
      </c>
      <c r="C24" s="235"/>
      <c r="D24" s="226"/>
      <c r="E24" s="226"/>
      <c r="F24" s="226"/>
      <c r="G24" s="226"/>
      <c r="H24" s="234">
        <v>0</v>
      </c>
      <c r="I24" s="1"/>
      <c r="J24" s="1"/>
      <c r="K24" s="227"/>
      <c r="L24" s="1"/>
      <c r="M24" s="1"/>
      <c r="N24" s="235" t="s">
        <v>1758</v>
      </c>
      <c r="O24" s="235"/>
      <c r="P24" s="226"/>
      <c r="Q24" s="226"/>
      <c r="R24" s="226"/>
      <c r="S24" s="226"/>
      <c r="T24" s="234">
        <v>0</v>
      </c>
      <c r="U24" s="226"/>
      <c r="V24" s="226"/>
      <c r="W24" s="226"/>
      <c r="X24" s="226"/>
      <c r="Y24" s="1"/>
    </row>
    <row r="25" spans="1:25" ht="15.75" x14ac:dyDescent="0.3">
      <c r="A25" s="1"/>
      <c r="B25" s="280" t="s">
        <v>1771</v>
      </c>
      <c r="C25" s="280"/>
      <c r="D25" s="226"/>
      <c r="E25" s="226"/>
      <c r="F25" s="226"/>
      <c r="G25" s="226"/>
      <c r="H25" s="236">
        <v>0</v>
      </c>
      <c r="I25" s="1"/>
      <c r="J25" s="1"/>
      <c r="K25" s="227"/>
      <c r="L25" s="1"/>
      <c r="M25" s="1"/>
      <c r="N25" s="280" t="s">
        <v>1771</v>
      </c>
      <c r="O25" s="280"/>
      <c r="P25" s="226"/>
      <c r="Q25" s="226"/>
      <c r="R25" s="226"/>
      <c r="S25" s="226"/>
      <c r="T25" s="236">
        <v>0</v>
      </c>
      <c r="U25" s="226"/>
      <c r="V25" s="226"/>
      <c r="W25" s="226"/>
      <c r="X25" s="226"/>
      <c r="Y25" s="1"/>
    </row>
    <row r="26" spans="1:25" ht="16.5" thickBot="1" x14ac:dyDescent="0.35">
      <c r="A26" s="1"/>
      <c r="B26" s="235" t="s">
        <v>1763</v>
      </c>
      <c r="C26" s="235"/>
      <c r="D26" s="226"/>
      <c r="E26" s="226"/>
      <c r="F26" s="226"/>
      <c r="G26" s="226"/>
      <c r="H26" s="237">
        <v>0</v>
      </c>
      <c r="I26" s="1"/>
      <c r="J26" s="1"/>
      <c r="K26" s="227"/>
      <c r="L26" s="1"/>
      <c r="M26" s="1"/>
      <c r="N26" s="235" t="s">
        <v>1763</v>
      </c>
      <c r="O26" s="235"/>
      <c r="P26" s="226"/>
      <c r="Q26" s="226"/>
      <c r="R26" s="226"/>
      <c r="S26" s="226"/>
      <c r="T26" s="237">
        <v>0</v>
      </c>
      <c r="U26" s="226"/>
      <c r="V26" s="226"/>
      <c r="W26" s="226"/>
      <c r="X26" s="226"/>
      <c r="Y26" s="1"/>
    </row>
    <row r="27" spans="1:25" ht="17.25" thickTop="1" thickBot="1" x14ac:dyDescent="0.35">
      <c r="A27" s="1"/>
      <c r="B27" s="280" t="s">
        <v>1772</v>
      </c>
      <c r="C27" s="280"/>
      <c r="D27" s="226"/>
      <c r="E27" s="226"/>
      <c r="F27" s="226"/>
      <c r="G27" s="226"/>
      <c r="H27" s="247">
        <f>H26*12</f>
        <v>0</v>
      </c>
      <c r="I27" s="1"/>
      <c r="K27" s="227"/>
      <c r="L27" s="1"/>
      <c r="M27" s="1"/>
      <c r="N27" s="280" t="s">
        <v>1772</v>
      </c>
      <c r="O27" s="280"/>
      <c r="P27" s="226"/>
      <c r="Q27" s="226"/>
      <c r="R27" s="226"/>
      <c r="S27" s="226"/>
      <c r="T27" s="238">
        <f>T26*12</f>
        <v>0</v>
      </c>
      <c r="U27" s="226"/>
      <c r="V27" s="226"/>
      <c r="W27" s="226"/>
      <c r="X27" s="226"/>
      <c r="Y27" s="1"/>
    </row>
    <row r="28" spans="1:25" ht="16.5" thickTop="1" x14ac:dyDescent="0.3">
      <c r="A28" s="1"/>
      <c r="B28" s="235" t="s">
        <v>1760</v>
      </c>
      <c r="C28" s="235"/>
      <c r="D28" s="226"/>
      <c r="E28" s="226"/>
      <c r="F28" s="226"/>
      <c r="G28" s="226"/>
      <c r="H28" s="248">
        <f>H25/12</f>
        <v>0</v>
      </c>
      <c r="I28" s="1"/>
      <c r="K28" s="227"/>
      <c r="L28" s="1"/>
      <c r="M28" s="1"/>
      <c r="N28" s="235" t="s">
        <v>1760</v>
      </c>
      <c r="O28" s="235"/>
      <c r="P28" s="226"/>
      <c r="Q28" s="226"/>
      <c r="R28" s="226"/>
      <c r="S28" s="226"/>
      <c r="T28" s="239">
        <f>T25/12</f>
        <v>0</v>
      </c>
      <c r="U28" s="226"/>
      <c r="V28" s="226"/>
      <c r="W28" s="226"/>
      <c r="X28" s="226"/>
      <c r="Y28" s="1"/>
    </row>
    <row r="29" spans="1:25" ht="15.75" x14ac:dyDescent="0.3">
      <c r="A29" s="1"/>
      <c r="B29" s="243"/>
      <c r="C29" s="243"/>
      <c r="D29" s="243"/>
      <c r="E29" s="243" t="s">
        <v>1773</v>
      </c>
      <c r="F29" s="244"/>
      <c r="G29" s="243" t="s">
        <v>1774</v>
      </c>
      <c r="H29" s="244" t="s">
        <v>1775</v>
      </c>
      <c r="I29" s="1"/>
      <c r="K29" s="227"/>
      <c r="L29" s="1"/>
      <c r="M29" s="1"/>
      <c r="N29" s="243"/>
      <c r="O29" s="243"/>
      <c r="P29" s="243"/>
      <c r="Q29" s="243" t="s">
        <v>1773</v>
      </c>
      <c r="R29" s="244"/>
      <c r="S29" s="243" t="s">
        <v>1774</v>
      </c>
      <c r="T29" s="244" t="s">
        <v>1775</v>
      </c>
      <c r="U29" s="226"/>
      <c r="V29" s="226"/>
      <c r="W29" s="226"/>
      <c r="X29" s="226"/>
      <c r="Y29" s="1"/>
    </row>
    <row r="30" spans="1:25" ht="15.75" x14ac:dyDescent="0.3">
      <c r="A30" s="1"/>
      <c r="B30" s="245" t="s">
        <v>1764</v>
      </c>
      <c r="C30" s="245" t="s">
        <v>1761</v>
      </c>
      <c r="D30" s="245" t="s">
        <v>1765</v>
      </c>
      <c r="E30" s="245" t="s">
        <v>1776</v>
      </c>
      <c r="F30" s="246" t="s">
        <v>50</v>
      </c>
      <c r="G30" s="245"/>
      <c r="H30" s="246" t="s">
        <v>1777</v>
      </c>
      <c r="I30" s="1"/>
      <c r="K30" s="227"/>
      <c r="L30" s="1"/>
      <c r="M30" s="1"/>
      <c r="N30" s="245" t="s">
        <v>1764</v>
      </c>
      <c r="O30" s="245" t="s">
        <v>1761</v>
      </c>
      <c r="P30" s="245" t="s">
        <v>1765</v>
      </c>
      <c r="Q30" s="245" t="s">
        <v>1776</v>
      </c>
      <c r="R30" s="246" t="s">
        <v>50</v>
      </c>
      <c r="S30" s="245"/>
      <c r="T30" s="246" t="s">
        <v>1777</v>
      </c>
      <c r="U30" s="226"/>
      <c r="V30" s="226"/>
      <c r="W30" s="226"/>
      <c r="X30" s="230"/>
      <c r="Y30" s="1"/>
    </row>
    <row r="31" spans="1:25" ht="15.75" x14ac:dyDescent="0.3">
      <c r="A31" s="1"/>
      <c r="B31" s="232">
        <v>0</v>
      </c>
      <c r="C31" s="232"/>
      <c r="D31" s="232"/>
      <c r="E31" s="232"/>
      <c r="F31" s="233">
        <f>H23-H24</f>
        <v>0</v>
      </c>
      <c r="G31" s="240"/>
      <c r="H31" s="233">
        <f>F31-G31</f>
        <v>0</v>
      </c>
      <c r="I31" s="1"/>
      <c r="K31" s="227"/>
      <c r="L31" s="1"/>
      <c r="M31" s="1"/>
      <c r="N31" s="232">
        <v>0</v>
      </c>
      <c r="O31" s="232"/>
      <c r="P31" s="232"/>
      <c r="Q31" s="232"/>
      <c r="R31" s="233">
        <f>T23-T24</f>
        <v>0</v>
      </c>
      <c r="S31" s="240"/>
      <c r="T31" s="233">
        <f>R31-S31</f>
        <v>0</v>
      </c>
      <c r="U31" s="226"/>
      <c r="V31" s="226"/>
      <c r="W31" s="226"/>
      <c r="X31" s="230"/>
      <c r="Y31" s="1"/>
    </row>
    <row r="32" spans="1:25" ht="15.75" x14ac:dyDescent="0.3">
      <c r="A32" s="1"/>
      <c r="B32" s="232">
        <v>1</v>
      </c>
      <c r="C32" s="233" t="e">
        <f>IF(H31&lt;-PMT(H$28,H$27,$F$31),H31*(1+$H$28),-PMT(H$28,H$27,$F$31))</f>
        <v>#NUM!</v>
      </c>
      <c r="D32" s="241">
        <f>H31*$H$28</f>
        <v>0</v>
      </c>
      <c r="E32" s="233" t="e">
        <f>C32-D32</f>
        <v>#NUM!</v>
      </c>
      <c r="F32" s="233" t="e">
        <f>H31-E32</f>
        <v>#NUM!</v>
      </c>
      <c r="G32" s="240"/>
      <c r="H32" s="233" t="e">
        <f t="shared" ref="H32:H95" si="0">F32-G32</f>
        <v>#NUM!</v>
      </c>
      <c r="I32" s="1"/>
      <c r="K32" s="227"/>
      <c r="L32" s="1"/>
      <c r="M32" s="1"/>
      <c r="N32" s="232">
        <v>1</v>
      </c>
      <c r="O32" s="233" t="e">
        <f>IF(T31&lt;-PMT(T$28,T$27,$F$31),T31*(1+$H$28),-PMT(T$28,T$27,$F$31))</f>
        <v>#NUM!</v>
      </c>
      <c r="P32" s="241">
        <f>T31*$H$28</f>
        <v>0</v>
      </c>
      <c r="Q32" s="233" t="e">
        <f>O32-P32</f>
        <v>#NUM!</v>
      </c>
      <c r="R32" s="233" t="e">
        <f>T31-Q32</f>
        <v>#NUM!</v>
      </c>
      <c r="S32" s="240"/>
      <c r="T32" s="233" t="e">
        <f t="shared" ref="T32:T95" si="1">R32-S32</f>
        <v>#NUM!</v>
      </c>
      <c r="U32" s="226"/>
      <c r="V32" s="226"/>
      <c r="W32" s="226"/>
      <c r="X32" s="230"/>
      <c r="Y32" s="1"/>
    </row>
    <row r="33" spans="1:25" ht="15.75" x14ac:dyDescent="0.3">
      <c r="A33" s="1"/>
      <c r="B33" s="232">
        <v>2</v>
      </c>
      <c r="C33" s="233" t="e">
        <f t="shared" ref="C33:C96" si="2">IF(H32&lt;-PMT(H$28,H$27,$F$31),H32*(1+$H$28),-PMT(H$28,H$27,$F$31))</f>
        <v>#NUM!</v>
      </c>
      <c r="D33" s="241" t="e">
        <f t="shared" ref="D33:D96" si="3">H32*$H$28</f>
        <v>#NUM!</v>
      </c>
      <c r="E33" s="233" t="e">
        <f t="shared" ref="E33:E96" si="4">C33-D33</f>
        <v>#NUM!</v>
      </c>
      <c r="F33" s="233" t="e">
        <f t="shared" ref="F33:F96" si="5">H32-E33</f>
        <v>#NUM!</v>
      </c>
      <c r="G33" s="240">
        <v>0</v>
      </c>
      <c r="H33" s="233" t="e">
        <f t="shared" si="0"/>
        <v>#NUM!</v>
      </c>
      <c r="I33" s="1"/>
      <c r="K33" s="227"/>
      <c r="L33" s="1"/>
      <c r="M33" s="1"/>
      <c r="N33" s="232">
        <v>2</v>
      </c>
      <c r="O33" s="233" t="e">
        <f t="shared" ref="O33:O96" si="6">IF(T32&lt;-PMT(T$28,T$27,$F$31),T32*(1+$H$28),-PMT(T$28,T$27,$F$31))</f>
        <v>#NUM!</v>
      </c>
      <c r="P33" s="241" t="e">
        <f t="shared" ref="P33:P96" si="7">T32*$H$28</f>
        <v>#NUM!</v>
      </c>
      <c r="Q33" s="233" t="e">
        <f t="shared" ref="Q33:Q96" si="8">O33-P33</f>
        <v>#NUM!</v>
      </c>
      <c r="R33" s="233" t="e">
        <f t="shared" ref="R33:R96" si="9">T32-Q33</f>
        <v>#NUM!</v>
      </c>
      <c r="S33" s="240">
        <v>0</v>
      </c>
      <c r="T33" s="233" t="e">
        <f t="shared" si="1"/>
        <v>#NUM!</v>
      </c>
      <c r="U33" s="226"/>
      <c r="V33" s="226"/>
      <c r="W33" s="226"/>
      <c r="X33" s="230"/>
      <c r="Y33" s="1"/>
    </row>
    <row r="34" spans="1:25" ht="15.75" x14ac:dyDescent="0.3">
      <c r="A34" s="1"/>
      <c r="B34" s="232">
        <v>3</v>
      </c>
      <c r="C34" s="233" t="e">
        <f t="shared" si="2"/>
        <v>#NUM!</v>
      </c>
      <c r="D34" s="241" t="e">
        <f t="shared" si="3"/>
        <v>#NUM!</v>
      </c>
      <c r="E34" s="233" t="e">
        <f t="shared" si="4"/>
        <v>#NUM!</v>
      </c>
      <c r="F34" s="233" t="e">
        <f t="shared" si="5"/>
        <v>#NUM!</v>
      </c>
      <c r="G34" s="240"/>
      <c r="H34" s="233" t="e">
        <f t="shared" si="0"/>
        <v>#NUM!</v>
      </c>
      <c r="I34" s="1"/>
      <c r="K34" s="227"/>
      <c r="L34" s="1"/>
      <c r="M34" s="1"/>
      <c r="N34" s="232">
        <v>3</v>
      </c>
      <c r="O34" s="233" t="e">
        <f t="shared" si="6"/>
        <v>#NUM!</v>
      </c>
      <c r="P34" s="241" t="e">
        <f t="shared" si="7"/>
        <v>#NUM!</v>
      </c>
      <c r="Q34" s="233" t="e">
        <f t="shared" si="8"/>
        <v>#NUM!</v>
      </c>
      <c r="R34" s="233" t="e">
        <f t="shared" si="9"/>
        <v>#NUM!</v>
      </c>
      <c r="S34" s="240"/>
      <c r="T34" s="233" t="e">
        <f t="shared" si="1"/>
        <v>#NUM!</v>
      </c>
      <c r="U34" s="226"/>
      <c r="V34" s="226"/>
      <c r="W34" s="226"/>
      <c r="X34" s="230"/>
      <c r="Y34" s="1"/>
    </row>
    <row r="35" spans="1:25" ht="15.75" x14ac:dyDescent="0.3">
      <c r="A35" s="1"/>
      <c r="B35" s="232">
        <v>4</v>
      </c>
      <c r="C35" s="233" t="e">
        <f t="shared" si="2"/>
        <v>#NUM!</v>
      </c>
      <c r="D35" s="241" t="e">
        <f t="shared" si="3"/>
        <v>#NUM!</v>
      </c>
      <c r="E35" s="233" t="e">
        <f t="shared" si="4"/>
        <v>#NUM!</v>
      </c>
      <c r="F35" s="233" t="e">
        <f t="shared" si="5"/>
        <v>#NUM!</v>
      </c>
      <c r="G35" s="240">
        <v>0</v>
      </c>
      <c r="H35" s="233" t="e">
        <f t="shared" si="0"/>
        <v>#NUM!</v>
      </c>
      <c r="I35" s="1"/>
      <c r="K35" s="227"/>
      <c r="L35" s="1"/>
      <c r="M35" s="1"/>
      <c r="N35" s="232">
        <v>4</v>
      </c>
      <c r="O35" s="233" t="e">
        <f t="shared" si="6"/>
        <v>#NUM!</v>
      </c>
      <c r="P35" s="241" t="e">
        <f t="shared" si="7"/>
        <v>#NUM!</v>
      </c>
      <c r="Q35" s="233" t="e">
        <f t="shared" si="8"/>
        <v>#NUM!</v>
      </c>
      <c r="R35" s="233" t="e">
        <f t="shared" si="9"/>
        <v>#NUM!</v>
      </c>
      <c r="S35" s="240">
        <v>0</v>
      </c>
      <c r="T35" s="233" t="e">
        <f t="shared" si="1"/>
        <v>#NUM!</v>
      </c>
      <c r="U35" s="226"/>
      <c r="V35" s="226"/>
      <c r="W35" s="226"/>
      <c r="X35" s="230"/>
      <c r="Y35" s="1"/>
    </row>
    <row r="36" spans="1:25" ht="15.75" x14ac:dyDescent="0.3">
      <c r="A36" s="1"/>
      <c r="B36" s="232">
        <v>5</v>
      </c>
      <c r="C36" s="233" t="e">
        <f t="shared" si="2"/>
        <v>#NUM!</v>
      </c>
      <c r="D36" s="241" t="e">
        <f t="shared" si="3"/>
        <v>#NUM!</v>
      </c>
      <c r="E36" s="233" t="e">
        <f t="shared" si="4"/>
        <v>#NUM!</v>
      </c>
      <c r="F36" s="233" t="e">
        <f t="shared" si="5"/>
        <v>#NUM!</v>
      </c>
      <c r="G36" s="240"/>
      <c r="H36" s="233" t="e">
        <f t="shared" si="0"/>
        <v>#NUM!</v>
      </c>
      <c r="I36" s="1"/>
      <c r="K36" s="227"/>
      <c r="L36" s="1"/>
      <c r="M36" s="1"/>
      <c r="N36" s="232">
        <v>5</v>
      </c>
      <c r="O36" s="233" t="e">
        <f t="shared" si="6"/>
        <v>#NUM!</v>
      </c>
      <c r="P36" s="241" t="e">
        <f t="shared" si="7"/>
        <v>#NUM!</v>
      </c>
      <c r="Q36" s="233" t="e">
        <f t="shared" si="8"/>
        <v>#NUM!</v>
      </c>
      <c r="R36" s="233" t="e">
        <f t="shared" si="9"/>
        <v>#NUM!</v>
      </c>
      <c r="S36" s="240"/>
      <c r="T36" s="233" t="e">
        <f t="shared" si="1"/>
        <v>#NUM!</v>
      </c>
      <c r="U36" s="226"/>
      <c r="V36" s="226"/>
      <c r="W36" s="226"/>
      <c r="X36" s="230"/>
      <c r="Y36" s="1"/>
    </row>
    <row r="37" spans="1:25" ht="15.75" x14ac:dyDescent="0.3">
      <c r="A37" s="1"/>
      <c r="B37" s="232">
        <v>6</v>
      </c>
      <c r="C37" s="233" t="e">
        <f t="shared" si="2"/>
        <v>#NUM!</v>
      </c>
      <c r="D37" s="241" t="e">
        <f t="shared" si="3"/>
        <v>#NUM!</v>
      </c>
      <c r="E37" s="233" t="e">
        <f t="shared" si="4"/>
        <v>#NUM!</v>
      </c>
      <c r="F37" s="233" t="e">
        <f t="shared" si="5"/>
        <v>#NUM!</v>
      </c>
      <c r="G37" s="240"/>
      <c r="H37" s="233" t="e">
        <f t="shared" si="0"/>
        <v>#NUM!</v>
      </c>
      <c r="I37" s="1"/>
      <c r="K37" s="227"/>
      <c r="L37" s="1"/>
      <c r="M37" s="1"/>
      <c r="N37" s="232">
        <v>6</v>
      </c>
      <c r="O37" s="233" t="e">
        <f t="shared" si="6"/>
        <v>#NUM!</v>
      </c>
      <c r="P37" s="241" t="e">
        <f t="shared" si="7"/>
        <v>#NUM!</v>
      </c>
      <c r="Q37" s="233" t="e">
        <f t="shared" si="8"/>
        <v>#NUM!</v>
      </c>
      <c r="R37" s="233" t="e">
        <f t="shared" si="9"/>
        <v>#NUM!</v>
      </c>
      <c r="S37" s="240"/>
      <c r="T37" s="233" t="e">
        <f t="shared" si="1"/>
        <v>#NUM!</v>
      </c>
      <c r="U37" s="226"/>
      <c r="V37" s="226"/>
      <c r="W37" s="226"/>
      <c r="X37" s="230"/>
      <c r="Y37" s="1"/>
    </row>
    <row r="38" spans="1:25" ht="15.75" x14ac:dyDescent="0.3">
      <c r="A38" s="1"/>
      <c r="B38" s="232">
        <v>7</v>
      </c>
      <c r="C38" s="233" t="e">
        <f t="shared" si="2"/>
        <v>#NUM!</v>
      </c>
      <c r="D38" s="241" t="e">
        <f t="shared" si="3"/>
        <v>#NUM!</v>
      </c>
      <c r="E38" s="233" t="e">
        <f t="shared" si="4"/>
        <v>#NUM!</v>
      </c>
      <c r="F38" s="233" t="e">
        <f t="shared" si="5"/>
        <v>#NUM!</v>
      </c>
      <c r="G38" s="240"/>
      <c r="H38" s="233" t="e">
        <f t="shared" si="0"/>
        <v>#NUM!</v>
      </c>
      <c r="I38" s="1"/>
      <c r="K38" s="227"/>
      <c r="L38" s="1"/>
      <c r="M38" s="1"/>
      <c r="N38" s="232">
        <v>7</v>
      </c>
      <c r="O38" s="233" t="e">
        <f t="shared" si="6"/>
        <v>#NUM!</v>
      </c>
      <c r="P38" s="241" t="e">
        <f t="shared" si="7"/>
        <v>#NUM!</v>
      </c>
      <c r="Q38" s="233" t="e">
        <f t="shared" si="8"/>
        <v>#NUM!</v>
      </c>
      <c r="R38" s="233" t="e">
        <f t="shared" si="9"/>
        <v>#NUM!</v>
      </c>
      <c r="S38" s="240"/>
      <c r="T38" s="233" t="e">
        <f t="shared" si="1"/>
        <v>#NUM!</v>
      </c>
      <c r="U38" s="226"/>
      <c r="V38" s="226"/>
      <c r="W38" s="226"/>
      <c r="X38" s="230"/>
      <c r="Y38" s="1"/>
    </row>
    <row r="39" spans="1:25" ht="15.75" x14ac:dyDescent="0.3">
      <c r="A39" s="1"/>
      <c r="B39" s="232">
        <v>8</v>
      </c>
      <c r="C39" s="233" t="e">
        <f t="shared" si="2"/>
        <v>#NUM!</v>
      </c>
      <c r="D39" s="241" t="e">
        <f t="shared" si="3"/>
        <v>#NUM!</v>
      </c>
      <c r="E39" s="233" t="e">
        <f t="shared" si="4"/>
        <v>#NUM!</v>
      </c>
      <c r="F39" s="233" t="e">
        <f t="shared" si="5"/>
        <v>#NUM!</v>
      </c>
      <c r="G39" s="240"/>
      <c r="H39" s="233" t="e">
        <f t="shared" si="0"/>
        <v>#NUM!</v>
      </c>
      <c r="I39" s="1"/>
      <c r="K39" s="227"/>
      <c r="L39" s="1"/>
      <c r="M39" s="1"/>
      <c r="N39" s="232">
        <v>8</v>
      </c>
      <c r="O39" s="233" t="e">
        <f t="shared" si="6"/>
        <v>#NUM!</v>
      </c>
      <c r="P39" s="241" t="e">
        <f t="shared" si="7"/>
        <v>#NUM!</v>
      </c>
      <c r="Q39" s="233" t="e">
        <f t="shared" si="8"/>
        <v>#NUM!</v>
      </c>
      <c r="R39" s="233" t="e">
        <f t="shared" si="9"/>
        <v>#NUM!</v>
      </c>
      <c r="S39" s="240"/>
      <c r="T39" s="233" t="e">
        <f t="shared" si="1"/>
        <v>#NUM!</v>
      </c>
      <c r="U39" s="226"/>
      <c r="V39" s="226"/>
      <c r="W39" s="226"/>
      <c r="X39" s="230"/>
      <c r="Y39" s="1"/>
    </row>
    <row r="40" spans="1:25" ht="15.75" x14ac:dyDescent="0.3">
      <c r="A40" s="1"/>
      <c r="B40" s="232">
        <v>9</v>
      </c>
      <c r="C40" s="233" t="e">
        <f t="shared" si="2"/>
        <v>#NUM!</v>
      </c>
      <c r="D40" s="241" t="e">
        <f t="shared" si="3"/>
        <v>#NUM!</v>
      </c>
      <c r="E40" s="233" t="e">
        <f t="shared" si="4"/>
        <v>#NUM!</v>
      </c>
      <c r="F40" s="233" t="e">
        <f t="shared" si="5"/>
        <v>#NUM!</v>
      </c>
      <c r="G40" s="240"/>
      <c r="H40" s="233" t="e">
        <f t="shared" si="0"/>
        <v>#NUM!</v>
      </c>
      <c r="I40" s="1"/>
      <c r="K40" s="227"/>
      <c r="L40" s="1"/>
      <c r="M40" s="1"/>
      <c r="N40" s="232">
        <v>9</v>
      </c>
      <c r="O40" s="233" t="e">
        <f t="shared" si="6"/>
        <v>#NUM!</v>
      </c>
      <c r="P40" s="241" t="e">
        <f t="shared" si="7"/>
        <v>#NUM!</v>
      </c>
      <c r="Q40" s="233" t="e">
        <f t="shared" si="8"/>
        <v>#NUM!</v>
      </c>
      <c r="R40" s="233" t="e">
        <f t="shared" si="9"/>
        <v>#NUM!</v>
      </c>
      <c r="S40" s="240"/>
      <c r="T40" s="233" t="e">
        <f t="shared" si="1"/>
        <v>#NUM!</v>
      </c>
      <c r="U40" s="226"/>
      <c r="V40" s="226"/>
      <c r="W40" s="226"/>
      <c r="X40" s="230"/>
      <c r="Y40" s="1"/>
    </row>
    <row r="41" spans="1:25" ht="15.75" x14ac:dyDescent="0.3">
      <c r="A41" s="1"/>
      <c r="B41" s="232">
        <v>10</v>
      </c>
      <c r="C41" s="233" t="e">
        <f t="shared" si="2"/>
        <v>#NUM!</v>
      </c>
      <c r="D41" s="241" t="e">
        <f t="shared" si="3"/>
        <v>#NUM!</v>
      </c>
      <c r="E41" s="233" t="e">
        <f t="shared" si="4"/>
        <v>#NUM!</v>
      </c>
      <c r="F41" s="233" t="e">
        <f t="shared" si="5"/>
        <v>#NUM!</v>
      </c>
      <c r="G41" s="240"/>
      <c r="H41" s="233" t="e">
        <f t="shared" si="0"/>
        <v>#NUM!</v>
      </c>
      <c r="I41" s="1"/>
      <c r="K41" s="227"/>
      <c r="L41" s="1"/>
      <c r="M41" s="1"/>
      <c r="N41" s="232">
        <v>10</v>
      </c>
      <c r="O41" s="233" t="e">
        <f t="shared" si="6"/>
        <v>#NUM!</v>
      </c>
      <c r="P41" s="241" t="e">
        <f t="shared" si="7"/>
        <v>#NUM!</v>
      </c>
      <c r="Q41" s="233" t="e">
        <f t="shared" si="8"/>
        <v>#NUM!</v>
      </c>
      <c r="R41" s="233" t="e">
        <f t="shared" si="9"/>
        <v>#NUM!</v>
      </c>
      <c r="S41" s="240"/>
      <c r="T41" s="233" t="e">
        <f t="shared" si="1"/>
        <v>#NUM!</v>
      </c>
      <c r="U41" s="226"/>
      <c r="V41" s="226"/>
      <c r="W41" s="226"/>
      <c r="X41" s="230"/>
      <c r="Y41" s="1"/>
    </row>
    <row r="42" spans="1:25" ht="15.75" x14ac:dyDescent="0.3">
      <c r="A42" s="1"/>
      <c r="B42" s="232">
        <v>11</v>
      </c>
      <c r="C42" s="233" t="e">
        <f t="shared" si="2"/>
        <v>#NUM!</v>
      </c>
      <c r="D42" s="241" t="e">
        <f t="shared" si="3"/>
        <v>#NUM!</v>
      </c>
      <c r="E42" s="233" t="e">
        <f t="shared" si="4"/>
        <v>#NUM!</v>
      </c>
      <c r="F42" s="233" t="e">
        <f t="shared" si="5"/>
        <v>#NUM!</v>
      </c>
      <c r="G42" s="240"/>
      <c r="H42" s="233" t="e">
        <f t="shared" si="0"/>
        <v>#NUM!</v>
      </c>
      <c r="I42" s="1"/>
      <c r="K42" s="227"/>
      <c r="L42" s="1"/>
      <c r="M42" s="1"/>
      <c r="N42" s="232">
        <v>11</v>
      </c>
      <c r="O42" s="233" t="e">
        <f t="shared" si="6"/>
        <v>#NUM!</v>
      </c>
      <c r="P42" s="241" t="e">
        <f t="shared" si="7"/>
        <v>#NUM!</v>
      </c>
      <c r="Q42" s="233" t="e">
        <f t="shared" si="8"/>
        <v>#NUM!</v>
      </c>
      <c r="R42" s="233" t="e">
        <f t="shared" si="9"/>
        <v>#NUM!</v>
      </c>
      <c r="S42" s="240"/>
      <c r="T42" s="233" t="e">
        <f t="shared" si="1"/>
        <v>#NUM!</v>
      </c>
      <c r="U42" s="226"/>
      <c r="V42" s="226"/>
      <c r="W42" s="226"/>
      <c r="X42" s="230"/>
      <c r="Y42" s="1"/>
    </row>
    <row r="43" spans="1:25" ht="15.75" x14ac:dyDescent="0.3">
      <c r="A43" s="1"/>
      <c r="B43" s="232">
        <v>12</v>
      </c>
      <c r="C43" s="233" t="e">
        <f t="shared" si="2"/>
        <v>#NUM!</v>
      </c>
      <c r="D43" s="241" t="e">
        <f t="shared" si="3"/>
        <v>#NUM!</v>
      </c>
      <c r="E43" s="233" t="e">
        <f t="shared" si="4"/>
        <v>#NUM!</v>
      </c>
      <c r="F43" s="233" t="e">
        <f t="shared" si="5"/>
        <v>#NUM!</v>
      </c>
      <c r="G43" s="240"/>
      <c r="H43" s="233" t="e">
        <f t="shared" si="0"/>
        <v>#NUM!</v>
      </c>
      <c r="I43" s="1"/>
      <c r="K43" s="227"/>
      <c r="L43" s="1"/>
      <c r="M43" s="1"/>
      <c r="N43" s="232">
        <v>12</v>
      </c>
      <c r="O43" s="233" t="e">
        <f t="shared" si="6"/>
        <v>#NUM!</v>
      </c>
      <c r="P43" s="241" t="e">
        <f t="shared" si="7"/>
        <v>#NUM!</v>
      </c>
      <c r="Q43" s="233" t="e">
        <f t="shared" si="8"/>
        <v>#NUM!</v>
      </c>
      <c r="R43" s="233" t="e">
        <f t="shared" si="9"/>
        <v>#NUM!</v>
      </c>
      <c r="S43" s="240"/>
      <c r="T43" s="233" t="e">
        <f t="shared" si="1"/>
        <v>#NUM!</v>
      </c>
      <c r="U43" s="226"/>
      <c r="V43" s="226"/>
      <c r="W43" s="226"/>
      <c r="X43" s="230"/>
      <c r="Y43" s="1"/>
    </row>
    <row r="44" spans="1:25" ht="15.75" x14ac:dyDescent="0.3">
      <c r="A44" s="1"/>
      <c r="B44" s="232">
        <v>13</v>
      </c>
      <c r="C44" s="233" t="e">
        <f t="shared" si="2"/>
        <v>#NUM!</v>
      </c>
      <c r="D44" s="241" t="e">
        <f t="shared" si="3"/>
        <v>#NUM!</v>
      </c>
      <c r="E44" s="233" t="e">
        <f t="shared" si="4"/>
        <v>#NUM!</v>
      </c>
      <c r="F44" s="233" t="e">
        <f t="shared" si="5"/>
        <v>#NUM!</v>
      </c>
      <c r="G44" s="240"/>
      <c r="H44" s="233" t="e">
        <f t="shared" si="0"/>
        <v>#NUM!</v>
      </c>
      <c r="I44" s="1"/>
      <c r="K44" s="227"/>
      <c r="L44" s="1"/>
      <c r="M44" s="1"/>
      <c r="N44" s="232">
        <v>13</v>
      </c>
      <c r="O44" s="233" t="e">
        <f t="shared" si="6"/>
        <v>#NUM!</v>
      </c>
      <c r="P44" s="241" t="e">
        <f t="shared" si="7"/>
        <v>#NUM!</v>
      </c>
      <c r="Q44" s="233" t="e">
        <f t="shared" si="8"/>
        <v>#NUM!</v>
      </c>
      <c r="R44" s="233" t="e">
        <f t="shared" si="9"/>
        <v>#NUM!</v>
      </c>
      <c r="S44" s="240"/>
      <c r="T44" s="233" t="e">
        <f t="shared" si="1"/>
        <v>#NUM!</v>
      </c>
      <c r="U44" s="226"/>
      <c r="V44" s="226"/>
      <c r="W44" s="226"/>
      <c r="X44" s="230"/>
      <c r="Y44" s="1"/>
    </row>
    <row r="45" spans="1:25" ht="15.75" x14ac:dyDescent="0.3">
      <c r="A45" s="1"/>
      <c r="B45" s="232">
        <v>14</v>
      </c>
      <c r="C45" s="233" t="e">
        <f t="shared" si="2"/>
        <v>#NUM!</v>
      </c>
      <c r="D45" s="241" t="e">
        <f t="shared" si="3"/>
        <v>#NUM!</v>
      </c>
      <c r="E45" s="233" t="e">
        <f t="shared" si="4"/>
        <v>#NUM!</v>
      </c>
      <c r="F45" s="233" t="e">
        <f t="shared" si="5"/>
        <v>#NUM!</v>
      </c>
      <c r="G45" s="240"/>
      <c r="H45" s="233" t="e">
        <f t="shared" si="0"/>
        <v>#NUM!</v>
      </c>
      <c r="I45" s="1"/>
      <c r="K45" s="227"/>
      <c r="L45" s="1"/>
      <c r="M45" s="1"/>
      <c r="N45" s="232">
        <v>14</v>
      </c>
      <c r="O45" s="233" t="e">
        <f t="shared" si="6"/>
        <v>#NUM!</v>
      </c>
      <c r="P45" s="241" t="e">
        <f t="shared" si="7"/>
        <v>#NUM!</v>
      </c>
      <c r="Q45" s="233" t="e">
        <f t="shared" si="8"/>
        <v>#NUM!</v>
      </c>
      <c r="R45" s="233" t="e">
        <f t="shared" si="9"/>
        <v>#NUM!</v>
      </c>
      <c r="S45" s="240"/>
      <c r="T45" s="233" t="e">
        <f t="shared" si="1"/>
        <v>#NUM!</v>
      </c>
      <c r="U45" s="226"/>
      <c r="V45" s="226"/>
      <c r="W45" s="226"/>
      <c r="X45" s="230"/>
      <c r="Y45" s="1"/>
    </row>
    <row r="46" spans="1:25" ht="15.75" x14ac:dyDescent="0.3">
      <c r="A46" s="1"/>
      <c r="B46" s="232">
        <v>15</v>
      </c>
      <c r="C46" s="233" t="e">
        <f t="shared" si="2"/>
        <v>#NUM!</v>
      </c>
      <c r="D46" s="241" t="e">
        <f t="shared" si="3"/>
        <v>#NUM!</v>
      </c>
      <c r="E46" s="233" t="e">
        <f t="shared" si="4"/>
        <v>#NUM!</v>
      </c>
      <c r="F46" s="233" t="e">
        <f t="shared" si="5"/>
        <v>#NUM!</v>
      </c>
      <c r="G46" s="240"/>
      <c r="H46" s="233" t="e">
        <f t="shared" si="0"/>
        <v>#NUM!</v>
      </c>
      <c r="I46" s="1"/>
      <c r="K46" s="227"/>
      <c r="L46" s="1"/>
      <c r="M46" s="1"/>
      <c r="N46" s="232">
        <v>15</v>
      </c>
      <c r="O46" s="233" t="e">
        <f t="shared" si="6"/>
        <v>#NUM!</v>
      </c>
      <c r="P46" s="241" t="e">
        <f t="shared" si="7"/>
        <v>#NUM!</v>
      </c>
      <c r="Q46" s="233" t="e">
        <f t="shared" si="8"/>
        <v>#NUM!</v>
      </c>
      <c r="R46" s="233" t="e">
        <f t="shared" si="9"/>
        <v>#NUM!</v>
      </c>
      <c r="S46" s="240"/>
      <c r="T46" s="233" t="e">
        <f t="shared" si="1"/>
        <v>#NUM!</v>
      </c>
      <c r="U46" s="226"/>
      <c r="V46" s="226"/>
      <c r="W46" s="226"/>
      <c r="X46" s="230"/>
      <c r="Y46" s="1"/>
    </row>
    <row r="47" spans="1:25" ht="15.75" x14ac:dyDescent="0.3">
      <c r="A47" s="1"/>
      <c r="B47" s="232">
        <v>16</v>
      </c>
      <c r="C47" s="233" t="e">
        <f t="shared" si="2"/>
        <v>#NUM!</v>
      </c>
      <c r="D47" s="241" t="e">
        <f t="shared" si="3"/>
        <v>#NUM!</v>
      </c>
      <c r="E47" s="233" t="e">
        <f t="shared" si="4"/>
        <v>#NUM!</v>
      </c>
      <c r="F47" s="233" t="e">
        <f t="shared" si="5"/>
        <v>#NUM!</v>
      </c>
      <c r="G47" s="240"/>
      <c r="H47" s="233" t="e">
        <f t="shared" si="0"/>
        <v>#NUM!</v>
      </c>
      <c r="I47" s="1"/>
      <c r="K47" s="227"/>
      <c r="L47" s="1"/>
      <c r="M47" s="1"/>
      <c r="N47" s="232">
        <v>16</v>
      </c>
      <c r="O47" s="233" t="e">
        <f t="shared" si="6"/>
        <v>#NUM!</v>
      </c>
      <c r="P47" s="241" t="e">
        <f t="shared" si="7"/>
        <v>#NUM!</v>
      </c>
      <c r="Q47" s="233" t="e">
        <f t="shared" si="8"/>
        <v>#NUM!</v>
      </c>
      <c r="R47" s="233" t="e">
        <f t="shared" si="9"/>
        <v>#NUM!</v>
      </c>
      <c r="S47" s="240"/>
      <c r="T47" s="233" t="e">
        <f t="shared" si="1"/>
        <v>#NUM!</v>
      </c>
      <c r="U47" s="226"/>
      <c r="V47" s="226"/>
      <c r="W47" s="226"/>
      <c r="X47" s="230"/>
      <c r="Y47" s="1"/>
    </row>
    <row r="48" spans="1:25" ht="15.75" x14ac:dyDescent="0.3">
      <c r="A48" s="1"/>
      <c r="B48" s="232">
        <v>17</v>
      </c>
      <c r="C48" s="233" t="e">
        <f t="shared" si="2"/>
        <v>#NUM!</v>
      </c>
      <c r="D48" s="241" t="e">
        <f t="shared" si="3"/>
        <v>#NUM!</v>
      </c>
      <c r="E48" s="233" t="e">
        <f t="shared" si="4"/>
        <v>#NUM!</v>
      </c>
      <c r="F48" s="233" t="e">
        <f t="shared" si="5"/>
        <v>#NUM!</v>
      </c>
      <c r="G48" s="240"/>
      <c r="H48" s="233" t="e">
        <f t="shared" si="0"/>
        <v>#NUM!</v>
      </c>
      <c r="I48" s="1"/>
      <c r="K48" s="227"/>
      <c r="L48" s="1"/>
      <c r="M48" s="1"/>
      <c r="N48" s="232">
        <v>17</v>
      </c>
      <c r="O48" s="233" t="e">
        <f t="shared" si="6"/>
        <v>#NUM!</v>
      </c>
      <c r="P48" s="241" t="e">
        <f t="shared" si="7"/>
        <v>#NUM!</v>
      </c>
      <c r="Q48" s="233" t="e">
        <f t="shared" si="8"/>
        <v>#NUM!</v>
      </c>
      <c r="R48" s="233" t="e">
        <f t="shared" si="9"/>
        <v>#NUM!</v>
      </c>
      <c r="S48" s="240"/>
      <c r="T48" s="233" t="e">
        <f t="shared" si="1"/>
        <v>#NUM!</v>
      </c>
      <c r="U48" s="226"/>
      <c r="V48" s="226"/>
      <c r="W48" s="226"/>
      <c r="X48" s="230"/>
      <c r="Y48" s="1"/>
    </row>
    <row r="49" spans="1:25" ht="15.75" x14ac:dyDescent="0.3">
      <c r="A49" s="1"/>
      <c r="B49" s="232">
        <v>18</v>
      </c>
      <c r="C49" s="233" t="e">
        <f t="shared" si="2"/>
        <v>#NUM!</v>
      </c>
      <c r="D49" s="241" t="e">
        <f t="shared" si="3"/>
        <v>#NUM!</v>
      </c>
      <c r="E49" s="233" t="e">
        <f t="shared" si="4"/>
        <v>#NUM!</v>
      </c>
      <c r="F49" s="233" t="e">
        <f t="shared" si="5"/>
        <v>#NUM!</v>
      </c>
      <c r="G49" s="240"/>
      <c r="H49" s="233" t="e">
        <f t="shared" si="0"/>
        <v>#NUM!</v>
      </c>
      <c r="I49" s="1"/>
      <c r="K49" s="227"/>
      <c r="L49" s="1"/>
      <c r="M49" s="1"/>
      <c r="N49" s="232">
        <v>18</v>
      </c>
      <c r="O49" s="233" t="e">
        <f t="shared" si="6"/>
        <v>#NUM!</v>
      </c>
      <c r="P49" s="241" t="e">
        <f t="shared" si="7"/>
        <v>#NUM!</v>
      </c>
      <c r="Q49" s="233" t="e">
        <f t="shared" si="8"/>
        <v>#NUM!</v>
      </c>
      <c r="R49" s="233" t="e">
        <f t="shared" si="9"/>
        <v>#NUM!</v>
      </c>
      <c r="S49" s="240"/>
      <c r="T49" s="233" t="e">
        <f t="shared" si="1"/>
        <v>#NUM!</v>
      </c>
      <c r="U49" s="226"/>
      <c r="V49" s="226"/>
      <c r="W49" s="226"/>
      <c r="X49" s="230"/>
      <c r="Y49" s="1"/>
    </row>
    <row r="50" spans="1:25" ht="15.75" x14ac:dyDescent="0.3">
      <c r="A50" s="1"/>
      <c r="B50" s="232">
        <v>19</v>
      </c>
      <c r="C50" s="233" t="e">
        <f t="shared" si="2"/>
        <v>#NUM!</v>
      </c>
      <c r="D50" s="241" t="e">
        <f t="shared" si="3"/>
        <v>#NUM!</v>
      </c>
      <c r="E50" s="233" t="e">
        <f t="shared" si="4"/>
        <v>#NUM!</v>
      </c>
      <c r="F50" s="233" t="e">
        <f t="shared" si="5"/>
        <v>#NUM!</v>
      </c>
      <c r="G50" s="240"/>
      <c r="H50" s="233" t="e">
        <f t="shared" si="0"/>
        <v>#NUM!</v>
      </c>
      <c r="I50" s="1"/>
      <c r="K50" s="227"/>
      <c r="L50" s="1"/>
      <c r="M50" s="1"/>
      <c r="N50" s="232">
        <v>19</v>
      </c>
      <c r="O50" s="233" t="e">
        <f t="shared" si="6"/>
        <v>#NUM!</v>
      </c>
      <c r="P50" s="241" t="e">
        <f t="shared" si="7"/>
        <v>#NUM!</v>
      </c>
      <c r="Q50" s="233" t="e">
        <f t="shared" si="8"/>
        <v>#NUM!</v>
      </c>
      <c r="R50" s="233" t="e">
        <f t="shared" si="9"/>
        <v>#NUM!</v>
      </c>
      <c r="S50" s="240"/>
      <c r="T50" s="233" t="e">
        <f t="shared" si="1"/>
        <v>#NUM!</v>
      </c>
      <c r="U50" s="226"/>
      <c r="V50" s="226"/>
      <c r="W50" s="226"/>
      <c r="X50" s="230"/>
      <c r="Y50" s="1"/>
    </row>
    <row r="51" spans="1:25" ht="15.75" x14ac:dyDescent="0.3">
      <c r="A51" s="1"/>
      <c r="B51" s="232">
        <v>20</v>
      </c>
      <c r="C51" s="233" t="e">
        <f t="shared" si="2"/>
        <v>#NUM!</v>
      </c>
      <c r="D51" s="241" t="e">
        <f t="shared" si="3"/>
        <v>#NUM!</v>
      </c>
      <c r="E51" s="233" t="e">
        <f t="shared" si="4"/>
        <v>#NUM!</v>
      </c>
      <c r="F51" s="233" t="e">
        <f t="shared" si="5"/>
        <v>#NUM!</v>
      </c>
      <c r="G51" s="240"/>
      <c r="H51" s="233" t="e">
        <f t="shared" si="0"/>
        <v>#NUM!</v>
      </c>
      <c r="I51" s="1"/>
      <c r="K51" s="227"/>
      <c r="L51" s="1"/>
      <c r="M51" s="1"/>
      <c r="N51" s="232">
        <v>20</v>
      </c>
      <c r="O51" s="233" t="e">
        <f t="shared" si="6"/>
        <v>#NUM!</v>
      </c>
      <c r="P51" s="241" t="e">
        <f t="shared" si="7"/>
        <v>#NUM!</v>
      </c>
      <c r="Q51" s="233" t="e">
        <f t="shared" si="8"/>
        <v>#NUM!</v>
      </c>
      <c r="R51" s="233" t="e">
        <f t="shared" si="9"/>
        <v>#NUM!</v>
      </c>
      <c r="S51" s="240"/>
      <c r="T51" s="233" t="e">
        <f t="shared" si="1"/>
        <v>#NUM!</v>
      </c>
      <c r="U51" s="226"/>
      <c r="V51" s="226"/>
      <c r="W51" s="226"/>
      <c r="X51" s="230"/>
      <c r="Y51" s="1"/>
    </row>
    <row r="52" spans="1:25" ht="15.75" x14ac:dyDescent="0.3">
      <c r="A52" s="1"/>
      <c r="B52" s="232">
        <v>21</v>
      </c>
      <c r="C52" s="233" t="e">
        <f t="shared" si="2"/>
        <v>#NUM!</v>
      </c>
      <c r="D52" s="241" t="e">
        <f t="shared" si="3"/>
        <v>#NUM!</v>
      </c>
      <c r="E52" s="233" t="e">
        <f t="shared" si="4"/>
        <v>#NUM!</v>
      </c>
      <c r="F52" s="233" t="e">
        <f t="shared" si="5"/>
        <v>#NUM!</v>
      </c>
      <c r="G52" s="240"/>
      <c r="H52" s="233" t="e">
        <f t="shared" si="0"/>
        <v>#NUM!</v>
      </c>
      <c r="I52" s="1"/>
      <c r="K52" s="227"/>
      <c r="L52" s="1"/>
      <c r="M52" s="1"/>
      <c r="N52" s="232">
        <v>21</v>
      </c>
      <c r="O52" s="233" t="e">
        <f t="shared" si="6"/>
        <v>#NUM!</v>
      </c>
      <c r="P52" s="241" t="e">
        <f t="shared" si="7"/>
        <v>#NUM!</v>
      </c>
      <c r="Q52" s="233" t="e">
        <f t="shared" si="8"/>
        <v>#NUM!</v>
      </c>
      <c r="R52" s="233" t="e">
        <f t="shared" si="9"/>
        <v>#NUM!</v>
      </c>
      <c r="S52" s="240"/>
      <c r="T52" s="233" t="e">
        <f t="shared" si="1"/>
        <v>#NUM!</v>
      </c>
      <c r="U52" s="226"/>
      <c r="V52" s="226"/>
      <c r="W52" s="226"/>
      <c r="X52" s="230"/>
      <c r="Y52" s="1"/>
    </row>
    <row r="53" spans="1:25" ht="15.75" x14ac:dyDescent="0.3">
      <c r="A53" s="1"/>
      <c r="B53" s="232">
        <v>22</v>
      </c>
      <c r="C53" s="233" t="e">
        <f t="shared" si="2"/>
        <v>#NUM!</v>
      </c>
      <c r="D53" s="241" t="e">
        <f t="shared" si="3"/>
        <v>#NUM!</v>
      </c>
      <c r="E53" s="233" t="e">
        <f t="shared" si="4"/>
        <v>#NUM!</v>
      </c>
      <c r="F53" s="233" t="e">
        <f t="shared" si="5"/>
        <v>#NUM!</v>
      </c>
      <c r="G53" s="240"/>
      <c r="H53" s="233" t="e">
        <f t="shared" si="0"/>
        <v>#NUM!</v>
      </c>
      <c r="I53" s="1"/>
      <c r="K53" s="227"/>
      <c r="L53" s="1"/>
      <c r="M53" s="1"/>
      <c r="N53" s="232">
        <v>22</v>
      </c>
      <c r="O53" s="233" t="e">
        <f t="shared" si="6"/>
        <v>#NUM!</v>
      </c>
      <c r="P53" s="241" t="e">
        <f t="shared" si="7"/>
        <v>#NUM!</v>
      </c>
      <c r="Q53" s="233" t="e">
        <f t="shared" si="8"/>
        <v>#NUM!</v>
      </c>
      <c r="R53" s="233" t="e">
        <f t="shared" si="9"/>
        <v>#NUM!</v>
      </c>
      <c r="S53" s="240"/>
      <c r="T53" s="233" t="e">
        <f t="shared" si="1"/>
        <v>#NUM!</v>
      </c>
      <c r="U53" s="226"/>
      <c r="V53" s="226"/>
      <c r="W53" s="226"/>
      <c r="X53" s="230"/>
      <c r="Y53" s="1"/>
    </row>
    <row r="54" spans="1:25" ht="15.75" x14ac:dyDescent="0.3">
      <c r="A54" s="1"/>
      <c r="B54" s="232">
        <v>23</v>
      </c>
      <c r="C54" s="233" t="e">
        <f t="shared" si="2"/>
        <v>#NUM!</v>
      </c>
      <c r="D54" s="241" t="e">
        <f t="shared" si="3"/>
        <v>#NUM!</v>
      </c>
      <c r="E54" s="233" t="e">
        <f t="shared" si="4"/>
        <v>#NUM!</v>
      </c>
      <c r="F54" s="233" t="e">
        <f t="shared" si="5"/>
        <v>#NUM!</v>
      </c>
      <c r="G54" s="240"/>
      <c r="H54" s="233" t="e">
        <f t="shared" si="0"/>
        <v>#NUM!</v>
      </c>
      <c r="I54" s="1"/>
      <c r="K54" s="227"/>
      <c r="L54" s="1"/>
      <c r="M54" s="1"/>
      <c r="N54" s="232">
        <v>23</v>
      </c>
      <c r="O54" s="233" t="e">
        <f t="shared" si="6"/>
        <v>#NUM!</v>
      </c>
      <c r="P54" s="241" t="e">
        <f t="shared" si="7"/>
        <v>#NUM!</v>
      </c>
      <c r="Q54" s="233" t="e">
        <f t="shared" si="8"/>
        <v>#NUM!</v>
      </c>
      <c r="R54" s="233" t="e">
        <f t="shared" si="9"/>
        <v>#NUM!</v>
      </c>
      <c r="S54" s="240"/>
      <c r="T54" s="233" t="e">
        <f t="shared" si="1"/>
        <v>#NUM!</v>
      </c>
      <c r="U54" s="226"/>
      <c r="V54" s="226"/>
      <c r="W54" s="226"/>
      <c r="X54" s="230"/>
      <c r="Y54" s="1"/>
    </row>
    <row r="55" spans="1:25" ht="15.75" x14ac:dyDescent="0.3">
      <c r="A55" s="1"/>
      <c r="B55" s="232">
        <v>24</v>
      </c>
      <c r="C55" s="233" t="e">
        <f t="shared" si="2"/>
        <v>#NUM!</v>
      </c>
      <c r="D55" s="241" t="e">
        <f t="shared" si="3"/>
        <v>#NUM!</v>
      </c>
      <c r="E55" s="233" t="e">
        <f t="shared" si="4"/>
        <v>#NUM!</v>
      </c>
      <c r="F55" s="233" t="e">
        <f t="shared" si="5"/>
        <v>#NUM!</v>
      </c>
      <c r="G55" s="240"/>
      <c r="H55" s="233" t="e">
        <f t="shared" si="0"/>
        <v>#NUM!</v>
      </c>
      <c r="I55" s="1"/>
      <c r="K55" s="227"/>
      <c r="L55" s="1"/>
      <c r="M55" s="1"/>
      <c r="N55" s="232">
        <v>24</v>
      </c>
      <c r="O55" s="233" t="e">
        <f t="shared" si="6"/>
        <v>#NUM!</v>
      </c>
      <c r="P55" s="241" t="e">
        <f t="shared" si="7"/>
        <v>#NUM!</v>
      </c>
      <c r="Q55" s="233" t="e">
        <f t="shared" si="8"/>
        <v>#NUM!</v>
      </c>
      <c r="R55" s="233" t="e">
        <f t="shared" si="9"/>
        <v>#NUM!</v>
      </c>
      <c r="S55" s="240"/>
      <c r="T55" s="233" t="e">
        <f t="shared" si="1"/>
        <v>#NUM!</v>
      </c>
      <c r="U55" s="226"/>
      <c r="V55" s="226"/>
      <c r="W55" s="226"/>
      <c r="X55" s="230"/>
      <c r="Y55" s="1"/>
    </row>
    <row r="56" spans="1:25" ht="15.75" x14ac:dyDescent="0.3">
      <c r="A56" s="1"/>
      <c r="B56" s="232">
        <v>25</v>
      </c>
      <c r="C56" s="233" t="e">
        <f t="shared" si="2"/>
        <v>#NUM!</v>
      </c>
      <c r="D56" s="241" t="e">
        <f t="shared" si="3"/>
        <v>#NUM!</v>
      </c>
      <c r="E56" s="233" t="e">
        <f t="shared" si="4"/>
        <v>#NUM!</v>
      </c>
      <c r="F56" s="233" t="e">
        <f t="shared" si="5"/>
        <v>#NUM!</v>
      </c>
      <c r="G56" s="240"/>
      <c r="H56" s="233" t="e">
        <f t="shared" si="0"/>
        <v>#NUM!</v>
      </c>
      <c r="I56" s="1"/>
      <c r="K56" s="227"/>
      <c r="L56" s="1"/>
      <c r="M56" s="1"/>
      <c r="N56" s="232">
        <v>25</v>
      </c>
      <c r="O56" s="233" t="e">
        <f t="shared" si="6"/>
        <v>#NUM!</v>
      </c>
      <c r="P56" s="241" t="e">
        <f t="shared" si="7"/>
        <v>#NUM!</v>
      </c>
      <c r="Q56" s="233" t="e">
        <f t="shared" si="8"/>
        <v>#NUM!</v>
      </c>
      <c r="R56" s="233" t="e">
        <f t="shared" si="9"/>
        <v>#NUM!</v>
      </c>
      <c r="S56" s="240"/>
      <c r="T56" s="233" t="e">
        <f t="shared" si="1"/>
        <v>#NUM!</v>
      </c>
      <c r="U56" s="226"/>
      <c r="V56" s="226"/>
      <c r="W56" s="226"/>
      <c r="X56" s="230"/>
      <c r="Y56" s="1"/>
    </row>
    <row r="57" spans="1:25" ht="15.75" x14ac:dyDescent="0.3">
      <c r="A57" s="1"/>
      <c r="B57" s="232">
        <v>26</v>
      </c>
      <c r="C57" s="233" t="e">
        <f t="shared" si="2"/>
        <v>#NUM!</v>
      </c>
      <c r="D57" s="241" t="e">
        <f t="shared" si="3"/>
        <v>#NUM!</v>
      </c>
      <c r="E57" s="233" t="e">
        <f t="shared" si="4"/>
        <v>#NUM!</v>
      </c>
      <c r="F57" s="233" t="e">
        <f t="shared" si="5"/>
        <v>#NUM!</v>
      </c>
      <c r="G57" s="240"/>
      <c r="H57" s="233" t="e">
        <f t="shared" si="0"/>
        <v>#NUM!</v>
      </c>
      <c r="I57" s="1"/>
      <c r="K57" s="227"/>
      <c r="L57" s="1"/>
      <c r="M57" s="1"/>
      <c r="N57" s="232">
        <v>26</v>
      </c>
      <c r="O57" s="233" t="e">
        <f t="shared" si="6"/>
        <v>#NUM!</v>
      </c>
      <c r="P57" s="241" t="e">
        <f t="shared" si="7"/>
        <v>#NUM!</v>
      </c>
      <c r="Q57" s="233" t="e">
        <f t="shared" si="8"/>
        <v>#NUM!</v>
      </c>
      <c r="R57" s="233" t="e">
        <f t="shared" si="9"/>
        <v>#NUM!</v>
      </c>
      <c r="S57" s="240"/>
      <c r="T57" s="233" t="e">
        <f t="shared" si="1"/>
        <v>#NUM!</v>
      </c>
      <c r="U57" s="226"/>
      <c r="V57" s="226"/>
      <c r="W57" s="226"/>
      <c r="X57" s="230"/>
      <c r="Y57" s="1"/>
    </row>
    <row r="58" spans="1:25" ht="15.75" x14ac:dyDescent="0.3">
      <c r="A58" s="1"/>
      <c r="B58" s="232">
        <v>27</v>
      </c>
      <c r="C58" s="233" t="e">
        <f t="shared" si="2"/>
        <v>#NUM!</v>
      </c>
      <c r="D58" s="241" t="e">
        <f t="shared" si="3"/>
        <v>#NUM!</v>
      </c>
      <c r="E58" s="233" t="e">
        <f t="shared" si="4"/>
        <v>#NUM!</v>
      </c>
      <c r="F58" s="233" t="e">
        <f t="shared" si="5"/>
        <v>#NUM!</v>
      </c>
      <c r="G58" s="240"/>
      <c r="H58" s="233" t="e">
        <f t="shared" si="0"/>
        <v>#NUM!</v>
      </c>
      <c r="I58" s="1"/>
      <c r="K58" s="227"/>
      <c r="L58" s="1"/>
      <c r="M58" s="1"/>
      <c r="N58" s="232">
        <v>27</v>
      </c>
      <c r="O58" s="233" t="e">
        <f t="shared" si="6"/>
        <v>#NUM!</v>
      </c>
      <c r="P58" s="241" t="e">
        <f t="shared" si="7"/>
        <v>#NUM!</v>
      </c>
      <c r="Q58" s="233" t="e">
        <f t="shared" si="8"/>
        <v>#NUM!</v>
      </c>
      <c r="R58" s="233" t="e">
        <f t="shared" si="9"/>
        <v>#NUM!</v>
      </c>
      <c r="S58" s="240"/>
      <c r="T58" s="233" t="e">
        <f t="shared" si="1"/>
        <v>#NUM!</v>
      </c>
      <c r="U58" s="226"/>
      <c r="V58" s="226"/>
      <c r="W58" s="226"/>
      <c r="X58" s="230"/>
      <c r="Y58" s="1"/>
    </row>
    <row r="59" spans="1:25" ht="15.75" x14ac:dyDescent="0.3">
      <c r="A59" s="1"/>
      <c r="B59" s="232">
        <v>28</v>
      </c>
      <c r="C59" s="233" t="e">
        <f t="shared" si="2"/>
        <v>#NUM!</v>
      </c>
      <c r="D59" s="241" t="e">
        <f t="shared" si="3"/>
        <v>#NUM!</v>
      </c>
      <c r="E59" s="233" t="e">
        <f t="shared" si="4"/>
        <v>#NUM!</v>
      </c>
      <c r="F59" s="233" t="e">
        <f t="shared" si="5"/>
        <v>#NUM!</v>
      </c>
      <c r="G59" s="240"/>
      <c r="H59" s="233" t="e">
        <f t="shared" si="0"/>
        <v>#NUM!</v>
      </c>
      <c r="I59" s="1"/>
      <c r="K59" s="227"/>
      <c r="L59" s="1"/>
      <c r="M59" s="1"/>
      <c r="N59" s="232">
        <v>28</v>
      </c>
      <c r="O59" s="233" t="e">
        <f t="shared" si="6"/>
        <v>#NUM!</v>
      </c>
      <c r="P59" s="241" t="e">
        <f t="shared" si="7"/>
        <v>#NUM!</v>
      </c>
      <c r="Q59" s="233" t="e">
        <f t="shared" si="8"/>
        <v>#NUM!</v>
      </c>
      <c r="R59" s="233" t="e">
        <f t="shared" si="9"/>
        <v>#NUM!</v>
      </c>
      <c r="S59" s="240"/>
      <c r="T59" s="233" t="e">
        <f t="shared" si="1"/>
        <v>#NUM!</v>
      </c>
      <c r="U59" s="226"/>
      <c r="V59" s="226"/>
      <c r="W59" s="226"/>
      <c r="X59" s="230"/>
      <c r="Y59" s="1"/>
    </row>
    <row r="60" spans="1:25" ht="15.75" x14ac:dyDescent="0.3">
      <c r="A60" s="1"/>
      <c r="B60" s="232">
        <v>29</v>
      </c>
      <c r="C60" s="233" t="e">
        <f t="shared" si="2"/>
        <v>#NUM!</v>
      </c>
      <c r="D60" s="241" t="e">
        <f t="shared" si="3"/>
        <v>#NUM!</v>
      </c>
      <c r="E60" s="233" t="e">
        <f t="shared" si="4"/>
        <v>#NUM!</v>
      </c>
      <c r="F60" s="233" t="e">
        <f t="shared" si="5"/>
        <v>#NUM!</v>
      </c>
      <c r="G60" s="240"/>
      <c r="H60" s="233" t="e">
        <f t="shared" si="0"/>
        <v>#NUM!</v>
      </c>
      <c r="I60" s="1"/>
      <c r="K60" s="227"/>
      <c r="L60" s="1"/>
      <c r="M60" s="1"/>
      <c r="N60" s="232">
        <v>29</v>
      </c>
      <c r="O60" s="233" t="e">
        <f t="shared" si="6"/>
        <v>#NUM!</v>
      </c>
      <c r="P60" s="241" t="e">
        <f t="shared" si="7"/>
        <v>#NUM!</v>
      </c>
      <c r="Q60" s="233" t="e">
        <f t="shared" si="8"/>
        <v>#NUM!</v>
      </c>
      <c r="R60" s="233" t="e">
        <f t="shared" si="9"/>
        <v>#NUM!</v>
      </c>
      <c r="S60" s="240"/>
      <c r="T60" s="233" t="e">
        <f t="shared" si="1"/>
        <v>#NUM!</v>
      </c>
      <c r="U60" s="226"/>
      <c r="V60" s="226"/>
      <c r="W60" s="226"/>
      <c r="X60" s="230"/>
      <c r="Y60" s="1"/>
    </row>
    <row r="61" spans="1:25" ht="15.75" x14ac:dyDescent="0.3">
      <c r="A61" s="1"/>
      <c r="B61" s="232">
        <v>30</v>
      </c>
      <c r="C61" s="233" t="e">
        <f t="shared" si="2"/>
        <v>#NUM!</v>
      </c>
      <c r="D61" s="241" t="e">
        <f t="shared" si="3"/>
        <v>#NUM!</v>
      </c>
      <c r="E61" s="233" t="e">
        <f t="shared" si="4"/>
        <v>#NUM!</v>
      </c>
      <c r="F61" s="233" t="e">
        <f t="shared" si="5"/>
        <v>#NUM!</v>
      </c>
      <c r="G61" s="240"/>
      <c r="H61" s="233" t="e">
        <f t="shared" si="0"/>
        <v>#NUM!</v>
      </c>
      <c r="I61" s="1"/>
      <c r="K61" s="227"/>
      <c r="L61" s="1"/>
      <c r="M61" s="1"/>
      <c r="N61" s="232">
        <v>30</v>
      </c>
      <c r="O61" s="233" t="e">
        <f t="shared" si="6"/>
        <v>#NUM!</v>
      </c>
      <c r="P61" s="241" t="e">
        <f t="shared" si="7"/>
        <v>#NUM!</v>
      </c>
      <c r="Q61" s="233" t="e">
        <f t="shared" si="8"/>
        <v>#NUM!</v>
      </c>
      <c r="R61" s="233" t="e">
        <f t="shared" si="9"/>
        <v>#NUM!</v>
      </c>
      <c r="S61" s="240"/>
      <c r="T61" s="233" t="e">
        <f t="shared" si="1"/>
        <v>#NUM!</v>
      </c>
      <c r="U61" s="226"/>
      <c r="V61" s="226"/>
      <c r="W61" s="226"/>
      <c r="X61" s="230"/>
      <c r="Y61" s="1"/>
    </row>
    <row r="62" spans="1:25" ht="15.75" x14ac:dyDescent="0.3">
      <c r="A62" s="1"/>
      <c r="B62" s="232">
        <v>31</v>
      </c>
      <c r="C62" s="233" t="e">
        <f t="shared" si="2"/>
        <v>#NUM!</v>
      </c>
      <c r="D62" s="241" t="e">
        <f t="shared" si="3"/>
        <v>#NUM!</v>
      </c>
      <c r="E62" s="233" t="e">
        <f t="shared" si="4"/>
        <v>#NUM!</v>
      </c>
      <c r="F62" s="233" t="e">
        <f t="shared" si="5"/>
        <v>#NUM!</v>
      </c>
      <c r="G62" s="240"/>
      <c r="H62" s="233" t="e">
        <f t="shared" si="0"/>
        <v>#NUM!</v>
      </c>
      <c r="I62" s="1"/>
      <c r="K62" s="227"/>
      <c r="L62" s="1"/>
      <c r="M62" s="1"/>
      <c r="N62" s="232">
        <v>31</v>
      </c>
      <c r="O62" s="233" t="e">
        <f t="shared" si="6"/>
        <v>#NUM!</v>
      </c>
      <c r="P62" s="241" t="e">
        <f t="shared" si="7"/>
        <v>#NUM!</v>
      </c>
      <c r="Q62" s="233" t="e">
        <f t="shared" si="8"/>
        <v>#NUM!</v>
      </c>
      <c r="R62" s="233" t="e">
        <f t="shared" si="9"/>
        <v>#NUM!</v>
      </c>
      <c r="S62" s="240"/>
      <c r="T62" s="233" t="e">
        <f t="shared" si="1"/>
        <v>#NUM!</v>
      </c>
      <c r="U62" s="226"/>
      <c r="V62" s="226"/>
      <c r="W62" s="226"/>
      <c r="X62" s="230"/>
      <c r="Y62" s="1"/>
    </row>
    <row r="63" spans="1:25" ht="15.75" x14ac:dyDescent="0.3">
      <c r="A63" s="1"/>
      <c r="B63" s="232">
        <v>32</v>
      </c>
      <c r="C63" s="233" t="e">
        <f t="shared" si="2"/>
        <v>#NUM!</v>
      </c>
      <c r="D63" s="241" t="e">
        <f t="shared" si="3"/>
        <v>#NUM!</v>
      </c>
      <c r="E63" s="233" t="e">
        <f t="shared" si="4"/>
        <v>#NUM!</v>
      </c>
      <c r="F63" s="233" t="e">
        <f t="shared" si="5"/>
        <v>#NUM!</v>
      </c>
      <c r="G63" s="240"/>
      <c r="H63" s="233" t="e">
        <f t="shared" si="0"/>
        <v>#NUM!</v>
      </c>
      <c r="I63" s="1"/>
      <c r="K63" s="227"/>
      <c r="L63" s="1"/>
      <c r="M63" s="1"/>
      <c r="N63" s="232">
        <v>32</v>
      </c>
      <c r="O63" s="233" t="e">
        <f t="shared" si="6"/>
        <v>#NUM!</v>
      </c>
      <c r="P63" s="241" t="e">
        <f t="shared" si="7"/>
        <v>#NUM!</v>
      </c>
      <c r="Q63" s="233" t="e">
        <f t="shared" si="8"/>
        <v>#NUM!</v>
      </c>
      <c r="R63" s="233" t="e">
        <f t="shared" si="9"/>
        <v>#NUM!</v>
      </c>
      <c r="S63" s="240"/>
      <c r="T63" s="233" t="e">
        <f t="shared" si="1"/>
        <v>#NUM!</v>
      </c>
      <c r="U63" s="226"/>
      <c r="V63" s="226"/>
      <c r="W63" s="226"/>
      <c r="X63" s="230"/>
      <c r="Y63" s="1"/>
    </row>
    <row r="64" spans="1:25" ht="15.75" x14ac:dyDescent="0.3">
      <c r="A64" s="1"/>
      <c r="B64" s="232">
        <v>33</v>
      </c>
      <c r="C64" s="233" t="e">
        <f t="shared" si="2"/>
        <v>#NUM!</v>
      </c>
      <c r="D64" s="241" t="e">
        <f t="shared" si="3"/>
        <v>#NUM!</v>
      </c>
      <c r="E64" s="233" t="e">
        <f t="shared" si="4"/>
        <v>#NUM!</v>
      </c>
      <c r="F64" s="233" t="e">
        <f t="shared" si="5"/>
        <v>#NUM!</v>
      </c>
      <c r="G64" s="240"/>
      <c r="H64" s="233" t="e">
        <f t="shared" si="0"/>
        <v>#NUM!</v>
      </c>
      <c r="I64" s="1"/>
      <c r="K64" s="227"/>
      <c r="L64" s="1"/>
      <c r="M64" s="1"/>
      <c r="N64" s="232">
        <v>33</v>
      </c>
      <c r="O64" s="233" t="e">
        <f t="shared" si="6"/>
        <v>#NUM!</v>
      </c>
      <c r="P64" s="241" t="e">
        <f t="shared" si="7"/>
        <v>#NUM!</v>
      </c>
      <c r="Q64" s="233" t="e">
        <f t="shared" si="8"/>
        <v>#NUM!</v>
      </c>
      <c r="R64" s="233" t="e">
        <f t="shared" si="9"/>
        <v>#NUM!</v>
      </c>
      <c r="S64" s="240"/>
      <c r="T64" s="233" t="e">
        <f t="shared" si="1"/>
        <v>#NUM!</v>
      </c>
      <c r="U64" s="226"/>
      <c r="V64" s="226"/>
      <c r="W64" s="226"/>
      <c r="X64" s="230"/>
      <c r="Y64" s="1"/>
    </row>
    <row r="65" spans="1:25" ht="15.75" x14ac:dyDescent="0.3">
      <c r="A65" s="1"/>
      <c r="B65" s="232">
        <v>34</v>
      </c>
      <c r="C65" s="233" t="e">
        <f t="shared" si="2"/>
        <v>#NUM!</v>
      </c>
      <c r="D65" s="241" t="e">
        <f t="shared" si="3"/>
        <v>#NUM!</v>
      </c>
      <c r="E65" s="233" t="e">
        <f t="shared" si="4"/>
        <v>#NUM!</v>
      </c>
      <c r="F65" s="233" t="e">
        <f t="shared" si="5"/>
        <v>#NUM!</v>
      </c>
      <c r="G65" s="240"/>
      <c r="H65" s="233" t="e">
        <f t="shared" si="0"/>
        <v>#NUM!</v>
      </c>
      <c r="I65" s="1"/>
      <c r="K65" s="227"/>
      <c r="L65" s="1"/>
      <c r="M65" s="1"/>
      <c r="N65" s="232">
        <v>34</v>
      </c>
      <c r="O65" s="233" t="e">
        <f t="shared" si="6"/>
        <v>#NUM!</v>
      </c>
      <c r="P65" s="241" t="e">
        <f t="shared" si="7"/>
        <v>#NUM!</v>
      </c>
      <c r="Q65" s="233" t="e">
        <f t="shared" si="8"/>
        <v>#NUM!</v>
      </c>
      <c r="R65" s="233" t="e">
        <f t="shared" si="9"/>
        <v>#NUM!</v>
      </c>
      <c r="S65" s="240"/>
      <c r="T65" s="233" t="e">
        <f t="shared" si="1"/>
        <v>#NUM!</v>
      </c>
      <c r="U65" s="226"/>
      <c r="V65" s="226"/>
      <c r="W65" s="226"/>
      <c r="X65" s="230"/>
      <c r="Y65" s="1"/>
    </row>
    <row r="66" spans="1:25" ht="15.75" x14ac:dyDescent="0.3">
      <c r="A66" s="1"/>
      <c r="B66" s="232">
        <v>35</v>
      </c>
      <c r="C66" s="233" t="e">
        <f t="shared" si="2"/>
        <v>#NUM!</v>
      </c>
      <c r="D66" s="241" t="e">
        <f t="shared" si="3"/>
        <v>#NUM!</v>
      </c>
      <c r="E66" s="233" t="e">
        <f t="shared" si="4"/>
        <v>#NUM!</v>
      </c>
      <c r="F66" s="233" t="e">
        <f t="shared" si="5"/>
        <v>#NUM!</v>
      </c>
      <c r="G66" s="240"/>
      <c r="H66" s="233" t="e">
        <f t="shared" si="0"/>
        <v>#NUM!</v>
      </c>
      <c r="I66" s="1"/>
      <c r="K66" s="227"/>
      <c r="L66" s="1"/>
      <c r="M66" s="1"/>
      <c r="N66" s="232">
        <v>35</v>
      </c>
      <c r="O66" s="233" t="e">
        <f t="shared" si="6"/>
        <v>#NUM!</v>
      </c>
      <c r="P66" s="241" t="e">
        <f t="shared" si="7"/>
        <v>#NUM!</v>
      </c>
      <c r="Q66" s="233" t="e">
        <f t="shared" si="8"/>
        <v>#NUM!</v>
      </c>
      <c r="R66" s="233" t="e">
        <f t="shared" si="9"/>
        <v>#NUM!</v>
      </c>
      <c r="S66" s="240"/>
      <c r="T66" s="233" t="e">
        <f t="shared" si="1"/>
        <v>#NUM!</v>
      </c>
      <c r="U66" s="226"/>
      <c r="V66" s="226"/>
      <c r="W66" s="226"/>
      <c r="X66" s="230"/>
      <c r="Y66" s="1"/>
    </row>
    <row r="67" spans="1:25" ht="15.75" x14ac:dyDescent="0.3">
      <c r="A67" s="1"/>
      <c r="B67" s="232">
        <v>36</v>
      </c>
      <c r="C67" s="233" t="e">
        <f t="shared" si="2"/>
        <v>#NUM!</v>
      </c>
      <c r="D67" s="241" t="e">
        <f t="shared" si="3"/>
        <v>#NUM!</v>
      </c>
      <c r="E67" s="233" t="e">
        <f t="shared" si="4"/>
        <v>#NUM!</v>
      </c>
      <c r="F67" s="233" t="e">
        <f t="shared" si="5"/>
        <v>#NUM!</v>
      </c>
      <c r="G67" s="240"/>
      <c r="H67" s="233" t="e">
        <f t="shared" si="0"/>
        <v>#NUM!</v>
      </c>
      <c r="I67" s="1"/>
      <c r="K67" s="227"/>
      <c r="L67" s="1"/>
      <c r="M67" s="1"/>
      <c r="N67" s="232">
        <v>36</v>
      </c>
      <c r="O67" s="233" t="e">
        <f t="shared" si="6"/>
        <v>#NUM!</v>
      </c>
      <c r="P67" s="241" t="e">
        <f t="shared" si="7"/>
        <v>#NUM!</v>
      </c>
      <c r="Q67" s="233" t="e">
        <f t="shared" si="8"/>
        <v>#NUM!</v>
      </c>
      <c r="R67" s="233" t="e">
        <f t="shared" si="9"/>
        <v>#NUM!</v>
      </c>
      <c r="S67" s="240"/>
      <c r="T67" s="233" t="e">
        <f t="shared" si="1"/>
        <v>#NUM!</v>
      </c>
      <c r="U67" s="226"/>
      <c r="V67" s="226"/>
      <c r="W67" s="226"/>
      <c r="X67" s="230"/>
      <c r="Y67" s="1"/>
    </row>
    <row r="68" spans="1:25" ht="15.75" x14ac:dyDescent="0.3">
      <c r="A68" s="1"/>
      <c r="B68" s="232">
        <v>37</v>
      </c>
      <c r="C68" s="233" t="e">
        <f t="shared" si="2"/>
        <v>#NUM!</v>
      </c>
      <c r="D68" s="241" t="e">
        <f t="shared" si="3"/>
        <v>#NUM!</v>
      </c>
      <c r="E68" s="233" t="e">
        <f t="shared" si="4"/>
        <v>#NUM!</v>
      </c>
      <c r="F68" s="233" t="e">
        <f t="shared" si="5"/>
        <v>#NUM!</v>
      </c>
      <c r="G68" s="240"/>
      <c r="H68" s="233" t="e">
        <f t="shared" si="0"/>
        <v>#NUM!</v>
      </c>
      <c r="I68" s="1"/>
      <c r="K68" s="227"/>
      <c r="L68" s="1"/>
      <c r="M68" s="1"/>
      <c r="N68" s="232">
        <v>37</v>
      </c>
      <c r="O68" s="233" t="e">
        <f t="shared" si="6"/>
        <v>#NUM!</v>
      </c>
      <c r="P68" s="241" t="e">
        <f t="shared" si="7"/>
        <v>#NUM!</v>
      </c>
      <c r="Q68" s="233" t="e">
        <f t="shared" si="8"/>
        <v>#NUM!</v>
      </c>
      <c r="R68" s="233" t="e">
        <f t="shared" si="9"/>
        <v>#NUM!</v>
      </c>
      <c r="S68" s="240"/>
      <c r="T68" s="233" t="e">
        <f t="shared" si="1"/>
        <v>#NUM!</v>
      </c>
      <c r="U68" s="226"/>
      <c r="V68" s="226"/>
      <c r="W68" s="226"/>
      <c r="X68" s="230"/>
      <c r="Y68" s="1"/>
    </row>
    <row r="69" spans="1:25" ht="15.75" x14ac:dyDescent="0.3">
      <c r="A69" s="1"/>
      <c r="B69" s="232">
        <v>38</v>
      </c>
      <c r="C69" s="233" t="e">
        <f t="shared" si="2"/>
        <v>#NUM!</v>
      </c>
      <c r="D69" s="241" t="e">
        <f t="shared" si="3"/>
        <v>#NUM!</v>
      </c>
      <c r="E69" s="233" t="e">
        <f t="shared" si="4"/>
        <v>#NUM!</v>
      </c>
      <c r="F69" s="233" t="e">
        <f t="shared" si="5"/>
        <v>#NUM!</v>
      </c>
      <c r="G69" s="240"/>
      <c r="H69" s="233" t="e">
        <f t="shared" si="0"/>
        <v>#NUM!</v>
      </c>
      <c r="I69" s="1"/>
      <c r="K69" s="227"/>
      <c r="L69" s="1"/>
      <c r="M69" s="1"/>
      <c r="N69" s="232">
        <v>38</v>
      </c>
      <c r="O69" s="233" t="e">
        <f t="shared" si="6"/>
        <v>#NUM!</v>
      </c>
      <c r="P69" s="241" t="e">
        <f t="shared" si="7"/>
        <v>#NUM!</v>
      </c>
      <c r="Q69" s="233" t="e">
        <f t="shared" si="8"/>
        <v>#NUM!</v>
      </c>
      <c r="R69" s="233" t="e">
        <f t="shared" si="9"/>
        <v>#NUM!</v>
      </c>
      <c r="S69" s="240"/>
      <c r="T69" s="233" t="e">
        <f t="shared" si="1"/>
        <v>#NUM!</v>
      </c>
      <c r="U69" s="226"/>
      <c r="V69" s="226"/>
      <c r="W69" s="226"/>
      <c r="X69" s="230"/>
      <c r="Y69" s="1"/>
    </row>
    <row r="70" spans="1:25" ht="15.75" x14ac:dyDescent="0.3">
      <c r="A70" s="1"/>
      <c r="B70" s="232">
        <v>39</v>
      </c>
      <c r="C70" s="233" t="e">
        <f t="shared" si="2"/>
        <v>#NUM!</v>
      </c>
      <c r="D70" s="241" t="e">
        <f t="shared" si="3"/>
        <v>#NUM!</v>
      </c>
      <c r="E70" s="233" t="e">
        <f t="shared" si="4"/>
        <v>#NUM!</v>
      </c>
      <c r="F70" s="233" t="e">
        <f t="shared" si="5"/>
        <v>#NUM!</v>
      </c>
      <c r="G70" s="240"/>
      <c r="H70" s="233" t="e">
        <f t="shared" si="0"/>
        <v>#NUM!</v>
      </c>
      <c r="I70" s="1"/>
      <c r="K70" s="227"/>
      <c r="L70" s="1"/>
      <c r="M70" s="1"/>
      <c r="N70" s="232">
        <v>39</v>
      </c>
      <c r="O70" s="233" t="e">
        <f t="shared" si="6"/>
        <v>#NUM!</v>
      </c>
      <c r="P70" s="241" t="e">
        <f t="shared" si="7"/>
        <v>#NUM!</v>
      </c>
      <c r="Q70" s="233" t="e">
        <f t="shared" si="8"/>
        <v>#NUM!</v>
      </c>
      <c r="R70" s="233" t="e">
        <f t="shared" si="9"/>
        <v>#NUM!</v>
      </c>
      <c r="S70" s="240"/>
      <c r="T70" s="233" t="e">
        <f t="shared" si="1"/>
        <v>#NUM!</v>
      </c>
      <c r="U70" s="226"/>
      <c r="V70" s="226"/>
      <c r="W70" s="226"/>
      <c r="X70" s="230"/>
      <c r="Y70" s="1"/>
    </row>
    <row r="71" spans="1:25" ht="15.75" x14ac:dyDescent="0.3">
      <c r="A71" s="1"/>
      <c r="B71" s="232">
        <v>40</v>
      </c>
      <c r="C71" s="233" t="e">
        <f t="shared" si="2"/>
        <v>#NUM!</v>
      </c>
      <c r="D71" s="241" t="e">
        <f t="shared" si="3"/>
        <v>#NUM!</v>
      </c>
      <c r="E71" s="233" t="e">
        <f t="shared" si="4"/>
        <v>#NUM!</v>
      </c>
      <c r="F71" s="233" t="e">
        <f t="shared" si="5"/>
        <v>#NUM!</v>
      </c>
      <c r="G71" s="240"/>
      <c r="H71" s="233" t="e">
        <f t="shared" si="0"/>
        <v>#NUM!</v>
      </c>
      <c r="I71" s="1"/>
      <c r="K71" s="227"/>
      <c r="L71" s="1"/>
      <c r="M71" s="1"/>
      <c r="N71" s="232">
        <v>40</v>
      </c>
      <c r="O71" s="233" t="e">
        <f t="shared" si="6"/>
        <v>#NUM!</v>
      </c>
      <c r="P71" s="241" t="e">
        <f t="shared" si="7"/>
        <v>#NUM!</v>
      </c>
      <c r="Q71" s="233" t="e">
        <f t="shared" si="8"/>
        <v>#NUM!</v>
      </c>
      <c r="R71" s="233" t="e">
        <f t="shared" si="9"/>
        <v>#NUM!</v>
      </c>
      <c r="S71" s="240"/>
      <c r="T71" s="233" t="e">
        <f t="shared" si="1"/>
        <v>#NUM!</v>
      </c>
      <c r="U71" s="226"/>
      <c r="V71" s="226"/>
      <c r="W71" s="226"/>
      <c r="X71" s="230"/>
      <c r="Y71" s="1"/>
    </row>
    <row r="72" spans="1:25" ht="15.75" x14ac:dyDescent="0.3">
      <c r="A72" s="1"/>
      <c r="B72" s="232">
        <v>41</v>
      </c>
      <c r="C72" s="233" t="e">
        <f t="shared" si="2"/>
        <v>#NUM!</v>
      </c>
      <c r="D72" s="241" t="e">
        <f t="shared" si="3"/>
        <v>#NUM!</v>
      </c>
      <c r="E72" s="233" t="e">
        <f t="shared" si="4"/>
        <v>#NUM!</v>
      </c>
      <c r="F72" s="233" t="e">
        <f t="shared" si="5"/>
        <v>#NUM!</v>
      </c>
      <c r="G72" s="240"/>
      <c r="H72" s="233" t="e">
        <f t="shared" si="0"/>
        <v>#NUM!</v>
      </c>
      <c r="I72" s="1"/>
      <c r="K72" s="227"/>
      <c r="L72" s="1"/>
      <c r="M72" s="1"/>
      <c r="N72" s="232">
        <v>41</v>
      </c>
      <c r="O72" s="233" t="e">
        <f t="shared" si="6"/>
        <v>#NUM!</v>
      </c>
      <c r="P72" s="241" t="e">
        <f t="shared" si="7"/>
        <v>#NUM!</v>
      </c>
      <c r="Q72" s="233" t="e">
        <f t="shared" si="8"/>
        <v>#NUM!</v>
      </c>
      <c r="R72" s="233" t="e">
        <f t="shared" si="9"/>
        <v>#NUM!</v>
      </c>
      <c r="S72" s="240"/>
      <c r="T72" s="233" t="e">
        <f t="shared" si="1"/>
        <v>#NUM!</v>
      </c>
      <c r="U72" s="226"/>
      <c r="V72" s="226"/>
      <c r="W72" s="226"/>
      <c r="X72" s="230"/>
      <c r="Y72" s="1"/>
    </row>
    <row r="73" spans="1:25" ht="15.75" x14ac:dyDescent="0.3">
      <c r="A73" s="1"/>
      <c r="B73" s="232">
        <v>42</v>
      </c>
      <c r="C73" s="233" t="e">
        <f t="shared" si="2"/>
        <v>#NUM!</v>
      </c>
      <c r="D73" s="241" t="e">
        <f t="shared" si="3"/>
        <v>#NUM!</v>
      </c>
      <c r="E73" s="233" t="e">
        <f t="shared" si="4"/>
        <v>#NUM!</v>
      </c>
      <c r="F73" s="233" t="e">
        <f t="shared" si="5"/>
        <v>#NUM!</v>
      </c>
      <c r="G73" s="240"/>
      <c r="H73" s="233" t="e">
        <f t="shared" si="0"/>
        <v>#NUM!</v>
      </c>
      <c r="I73" s="1"/>
      <c r="K73" s="227"/>
      <c r="L73" s="1"/>
      <c r="M73" s="1"/>
      <c r="N73" s="232">
        <v>42</v>
      </c>
      <c r="O73" s="233" t="e">
        <f t="shared" si="6"/>
        <v>#NUM!</v>
      </c>
      <c r="P73" s="241" t="e">
        <f t="shared" si="7"/>
        <v>#NUM!</v>
      </c>
      <c r="Q73" s="233" t="e">
        <f t="shared" si="8"/>
        <v>#NUM!</v>
      </c>
      <c r="R73" s="233" t="e">
        <f t="shared" si="9"/>
        <v>#NUM!</v>
      </c>
      <c r="S73" s="240"/>
      <c r="T73" s="233" t="e">
        <f t="shared" si="1"/>
        <v>#NUM!</v>
      </c>
      <c r="U73" s="226"/>
      <c r="V73" s="226"/>
      <c r="W73" s="226"/>
      <c r="X73" s="230"/>
      <c r="Y73" s="1"/>
    </row>
    <row r="74" spans="1:25" ht="15.75" x14ac:dyDescent="0.3">
      <c r="A74" s="1"/>
      <c r="B74" s="232">
        <v>43</v>
      </c>
      <c r="C74" s="233" t="e">
        <f t="shared" si="2"/>
        <v>#NUM!</v>
      </c>
      <c r="D74" s="241" t="e">
        <f t="shared" si="3"/>
        <v>#NUM!</v>
      </c>
      <c r="E74" s="233" t="e">
        <f t="shared" si="4"/>
        <v>#NUM!</v>
      </c>
      <c r="F74" s="233" t="e">
        <f t="shared" si="5"/>
        <v>#NUM!</v>
      </c>
      <c r="G74" s="240"/>
      <c r="H74" s="233" t="e">
        <f t="shared" si="0"/>
        <v>#NUM!</v>
      </c>
      <c r="I74" s="1"/>
      <c r="K74" s="227"/>
      <c r="L74" s="1"/>
      <c r="M74" s="1"/>
      <c r="N74" s="232">
        <v>43</v>
      </c>
      <c r="O74" s="233" t="e">
        <f t="shared" si="6"/>
        <v>#NUM!</v>
      </c>
      <c r="P74" s="241" t="e">
        <f t="shared" si="7"/>
        <v>#NUM!</v>
      </c>
      <c r="Q74" s="233" t="e">
        <f t="shared" si="8"/>
        <v>#NUM!</v>
      </c>
      <c r="R74" s="233" t="e">
        <f t="shared" si="9"/>
        <v>#NUM!</v>
      </c>
      <c r="S74" s="240"/>
      <c r="T74" s="233" t="e">
        <f t="shared" si="1"/>
        <v>#NUM!</v>
      </c>
      <c r="U74" s="226"/>
      <c r="V74" s="226"/>
      <c r="W74" s="226"/>
      <c r="X74" s="230"/>
      <c r="Y74" s="1"/>
    </row>
    <row r="75" spans="1:25" ht="15.75" x14ac:dyDescent="0.3">
      <c r="A75" s="1"/>
      <c r="B75" s="232">
        <v>44</v>
      </c>
      <c r="C75" s="233" t="e">
        <f t="shared" si="2"/>
        <v>#NUM!</v>
      </c>
      <c r="D75" s="241" t="e">
        <f t="shared" si="3"/>
        <v>#NUM!</v>
      </c>
      <c r="E75" s="233" t="e">
        <f t="shared" si="4"/>
        <v>#NUM!</v>
      </c>
      <c r="F75" s="233" t="e">
        <f t="shared" si="5"/>
        <v>#NUM!</v>
      </c>
      <c r="G75" s="240"/>
      <c r="H75" s="233" t="e">
        <f t="shared" si="0"/>
        <v>#NUM!</v>
      </c>
      <c r="I75" s="1"/>
      <c r="K75" s="227"/>
      <c r="L75" s="1"/>
      <c r="M75" s="1"/>
      <c r="N75" s="232">
        <v>44</v>
      </c>
      <c r="O75" s="233" t="e">
        <f t="shared" si="6"/>
        <v>#NUM!</v>
      </c>
      <c r="P75" s="241" t="e">
        <f t="shared" si="7"/>
        <v>#NUM!</v>
      </c>
      <c r="Q75" s="233" t="e">
        <f t="shared" si="8"/>
        <v>#NUM!</v>
      </c>
      <c r="R75" s="233" t="e">
        <f t="shared" si="9"/>
        <v>#NUM!</v>
      </c>
      <c r="S75" s="240"/>
      <c r="T75" s="233" t="e">
        <f t="shared" si="1"/>
        <v>#NUM!</v>
      </c>
      <c r="U75" s="226"/>
      <c r="V75" s="226"/>
      <c r="W75" s="226"/>
      <c r="X75" s="230"/>
      <c r="Y75" s="1"/>
    </row>
    <row r="76" spans="1:25" ht="15.75" x14ac:dyDescent="0.3">
      <c r="A76" s="1"/>
      <c r="B76" s="232">
        <v>45</v>
      </c>
      <c r="C76" s="233" t="e">
        <f t="shared" si="2"/>
        <v>#NUM!</v>
      </c>
      <c r="D76" s="241" t="e">
        <f t="shared" si="3"/>
        <v>#NUM!</v>
      </c>
      <c r="E76" s="233" t="e">
        <f t="shared" si="4"/>
        <v>#NUM!</v>
      </c>
      <c r="F76" s="233" t="e">
        <f t="shared" si="5"/>
        <v>#NUM!</v>
      </c>
      <c r="G76" s="240"/>
      <c r="H76" s="233" t="e">
        <f t="shared" si="0"/>
        <v>#NUM!</v>
      </c>
      <c r="I76" s="1"/>
      <c r="K76" s="227"/>
      <c r="L76" s="1"/>
      <c r="M76" s="1"/>
      <c r="N76" s="232">
        <v>45</v>
      </c>
      <c r="O76" s="233" t="e">
        <f t="shared" si="6"/>
        <v>#NUM!</v>
      </c>
      <c r="P76" s="241" t="e">
        <f t="shared" si="7"/>
        <v>#NUM!</v>
      </c>
      <c r="Q76" s="233" t="e">
        <f t="shared" si="8"/>
        <v>#NUM!</v>
      </c>
      <c r="R76" s="233" t="e">
        <f t="shared" si="9"/>
        <v>#NUM!</v>
      </c>
      <c r="S76" s="240"/>
      <c r="T76" s="233" t="e">
        <f t="shared" si="1"/>
        <v>#NUM!</v>
      </c>
      <c r="U76" s="226"/>
      <c r="V76" s="226"/>
      <c r="W76" s="226"/>
      <c r="X76" s="230"/>
      <c r="Y76" s="1"/>
    </row>
    <row r="77" spans="1:25" ht="15.75" x14ac:dyDescent="0.3">
      <c r="A77" s="1"/>
      <c r="B77" s="232">
        <v>46</v>
      </c>
      <c r="C77" s="233" t="e">
        <f t="shared" si="2"/>
        <v>#NUM!</v>
      </c>
      <c r="D77" s="241" t="e">
        <f t="shared" si="3"/>
        <v>#NUM!</v>
      </c>
      <c r="E77" s="233" t="e">
        <f t="shared" si="4"/>
        <v>#NUM!</v>
      </c>
      <c r="F77" s="233" t="e">
        <f t="shared" si="5"/>
        <v>#NUM!</v>
      </c>
      <c r="G77" s="240"/>
      <c r="H77" s="233" t="e">
        <f t="shared" si="0"/>
        <v>#NUM!</v>
      </c>
      <c r="I77" s="1"/>
      <c r="K77" s="227"/>
      <c r="L77" s="1"/>
      <c r="M77" s="1"/>
      <c r="N77" s="232">
        <v>46</v>
      </c>
      <c r="O77" s="233" t="e">
        <f t="shared" si="6"/>
        <v>#NUM!</v>
      </c>
      <c r="P77" s="241" t="e">
        <f t="shared" si="7"/>
        <v>#NUM!</v>
      </c>
      <c r="Q77" s="233" t="e">
        <f t="shared" si="8"/>
        <v>#NUM!</v>
      </c>
      <c r="R77" s="233" t="e">
        <f t="shared" si="9"/>
        <v>#NUM!</v>
      </c>
      <c r="S77" s="240"/>
      <c r="T77" s="233" t="e">
        <f t="shared" si="1"/>
        <v>#NUM!</v>
      </c>
      <c r="U77" s="226"/>
      <c r="V77" s="226"/>
      <c r="W77" s="226"/>
      <c r="X77" s="230"/>
      <c r="Y77" s="1"/>
    </row>
    <row r="78" spans="1:25" ht="15.75" x14ac:dyDescent="0.3">
      <c r="A78" s="1"/>
      <c r="B78" s="232">
        <v>47</v>
      </c>
      <c r="C78" s="233" t="e">
        <f t="shared" si="2"/>
        <v>#NUM!</v>
      </c>
      <c r="D78" s="241" t="e">
        <f t="shared" si="3"/>
        <v>#NUM!</v>
      </c>
      <c r="E78" s="233" t="e">
        <f t="shared" si="4"/>
        <v>#NUM!</v>
      </c>
      <c r="F78" s="233" t="e">
        <f t="shared" si="5"/>
        <v>#NUM!</v>
      </c>
      <c r="G78" s="240"/>
      <c r="H78" s="233" t="e">
        <f t="shared" si="0"/>
        <v>#NUM!</v>
      </c>
      <c r="I78" s="1"/>
      <c r="K78" s="227"/>
      <c r="L78" s="1"/>
      <c r="M78" s="1"/>
      <c r="N78" s="232">
        <v>47</v>
      </c>
      <c r="O78" s="233" t="e">
        <f t="shared" si="6"/>
        <v>#NUM!</v>
      </c>
      <c r="P78" s="241" t="e">
        <f t="shared" si="7"/>
        <v>#NUM!</v>
      </c>
      <c r="Q78" s="233" t="e">
        <f t="shared" si="8"/>
        <v>#NUM!</v>
      </c>
      <c r="R78" s="233" t="e">
        <f t="shared" si="9"/>
        <v>#NUM!</v>
      </c>
      <c r="S78" s="240"/>
      <c r="T78" s="233" t="e">
        <f t="shared" si="1"/>
        <v>#NUM!</v>
      </c>
      <c r="U78" s="226"/>
      <c r="V78" s="226"/>
      <c r="W78" s="226"/>
      <c r="X78" s="230"/>
      <c r="Y78" s="1"/>
    </row>
    <row r="79" spans="1:25" ht="15.75" x14ac:dyDescent="0.3">
      <c r="A79" s="1"/>
      <c r="B79" s="232">
        <v>48</v>
      </c>
      <c r="C79" s="233" t="e">
        <f t="shared" si="2"/>
        <v>#NUM!</v>
      </c>
      <c r="D79" s="241" t="e">
        <f t="shared" si="3"/>
        <v>#NUM!</v>
      </c>
      <c r="E79" s="233" t="e">
        <f t="shared" si="4"/>
        <v>#NUM!</v>
      </c>
      <c r="F79" s="233" t="e">
        <f t="shared" si="5"/>
        <v>#NUM!</v>
      </c>
      <c r="G79" s="240"/>
      <c r="H79" s="233" t="e">
        <f t="shared" si="0"/>
        <v>#NUM!</v>
      </c>
      <c r="I79" s="1"/>
      <c r="K79" s="227"/>
      <c r="L79" s="1"/>
      <c r="M79" s="1"/>
      <c r="N79" s="232">
        <v>48</v>
      </c>
      <c r="O79" s="233" t="e">
        <f t="shared" si="6"/>
        <v>#NUM!</v>
      </c>
      <c r="P79" s="241" t="e">
        <f t="shared" si="7"/>
        <v>#NUM!</v>
      </c>
      <c r="Q79" s="233" t="e">
        <f t="shared" si="8"/>
        <v>#NUM!</v>
      </c>
      <c r="R79" s="233" t="e">
        <f t="shared" si="9"/>
        <v>#NUM!</v>
      </c>
      <c r="S79" s="240"/>
      <c r="T79" s="233" t="e">
        <f t="shared" si="1"/>
        <v>#NUM!</v>
      </c>
      <c r="U79" s="226"/>
      <c r="V79" s="226"/>
      <c r="W79" s="226"/>
      <c r="X79" s="230"/>
      <c r="Y79" s="1"/>
    </row>
    <row r="80" spans="1:25" ht="15.75" x14ac:dyDescent="0.3">
      <c r="A80" s="1"/>
      <c r="B80" s="232">
        <v>49</v>
      </c>
      <c r="C80" s="233" t="e">
        <f t="shared" si="2"/>
        <v>#NUM!</v>
      </c>
      <c r="D80" s="241" t="e">
        <f t="shared" si="3"/>
        <v>#NUM!</v>
      </c>
      <c r="E80" s="233" t="e">
        <f t="shared" si="4"/>
        <v>#NUM!</v>
      </c>
      <c r="F80" s="233" t="e">
        <f t="shared" si="5"/>
        <v>#NUM!</v>
      </c>
      <c r="G80" s="240"/>
      <c r="H80" s="233" t="e">
        <f t="shared" si="0"/>
        <v>#NUM!</v>
      </c>
      <c r="I80" s="1"/>
      <c r="K80" s="227"/>
      <c r="L80" s="1"/>
      <c r="M80" s="1"/>
      <c r="N80" s="232">
        <v>49</v>
      </c>
      <c r="O80" s="233" t="e">
        <f t="shared" si="6"/>
        <v>#NUM!</v>
      </c>
      <c r="P80" s="241" t="e">
        <f t="shared" si="7"/>
        <v>#NUM!</v>
      </c>
      <c r="Q80" s="233" t="e">
        <f t="shared" si="8"/>
        <v>#NUM!</v>
      </c>
      <c r="R80" s="233" t="e">
        <f t="shared" si="9"/>
        <v>#NUM!</v>
      </c>
      <c r="S80" s="240"/>
      <c r="T80" s="233" t="e">
        <f t="shared" si="1"/>
        <v>#NUM!</v>
      </c>
      <c r="U80" s="226"/>
      <c r="V80" s="226"/>
      <c r="W80" s="226"/>
      <c r="X80" s="230"/>
      <c r="Y80" s="1"/>
    </row>
    <row r="81" spans="1:25" ht="15.75" x14ac:dyDescent="0.3">
      <c r="A81" s="1"/>
      <c r="B81" s="232">
        <v>50</v>
      </c>
      <c r="C81" s="233" t="e">
        <f t="shared" si="2"/>
        <v>#NUM!</v>
      </c>
      <c r="D81" s="241" t="e">
        <f t="shared" si="3"/>
        <v>#NUM!</v>
      </c>
      <c r="E81" s="233" t="e">
        <f t="shared" si="4"/>
        <v>#NUM!</v>
      </c>
      <c r="F81" s="233" t="e">
        <f t="shared" si="5"/>
        <v>#NUM!</v>
      </c>
      <c r="G81" s="240"/>
      <c r="H81" s="233" t="e">
        <f t="shared" si="0"/>
        <v>#NUM!</v>
      </c>
      <c r="I81" s="1"/>
      <c r="K81" s="227"/>
      <c r="L81" s="1"/>
      <c r="M81" s="1"/>
      <c r="N81" s="232">
        <v>50</v>
      </c>
      <c r="O81" s="233" t="e">
        <f t="shared" si="6"/>
        <v>#NUM!</v>
      </c>
      <c r="P81" s="241" t="e">
        <f t="shared" si="7"/>
        <v>#NUM!</v>
      </c>
      <c r="Q81" s="233" t="e">
        <f t="shared" si="8"/>
        <v>#NUM!</v>
      </c>
      <c r="R81" s="233" t="e">
        <f t="shared" si="9"/>
        <v>#NUM!</v>
      </c>
      <c r="S81" s="240"/>
      <c r="T81" s="233" t="e">
        <f t="shared" si="1"/>
        <v>#NUM!</v>
      </c>
      <c r="U81" s="226"/>
      <c r="V81" s="226"/>
      <c r="W81" s="226"/>
      <c r="X81" s="230"/>
      <c r="Y81" s="1"/>
    </row>
    <row r="82" spans="1:25" ht="15.75" x14ac:dyDescent="0.3">
      <c r="A82" s="1"/>
      <c r="B82" s="232">
        <v>51</v>
      </c>
      <c r="C82" s="233" t="e">
        <f t="shared" si="2"/>
        <v>#NUM!</v>
      </c>
      <c r="D82" s="241" t="e">
        <f t="shared" si="3"/>
        <v>#NUM!</v>
      </c>
      <c r="E82" s="233" t="e">
        <f t="shared" si="4"/>
        <v>#NUM!</v>
      </c>
      <c r="F82" s="233" t="e">
        <f t="shared" si="5"/>
        <v>#NUM!</v>
      </c>
      <c r="G82" s="240"/>
      <c r="H82" s="233" t="e">
        <f t="shared" si="0"/>
        <v>#NUM!</v>
      </c>
      <c r="I82" s="1"/>
      <c r="K82" s="227"/>
      <c r="L82" s="1"/>
      <c r="M82" s="1"/>
      <c r="N82" s="232">
        <v>51</v>
      </c>
      <c r="O82" s="233" t="e">
        <f t="shared" si="6"/>
        <v>#NUM!</v>
      </c>
      <c r="P82" s="241" t="e">
        <f t="shared" si="7"/>
        <v>#NUM!</v>
      </c>
      <c r="Q82" s="233" t="e">
        <f t="shared" si="8"/>
        <v>#NUM!</v>
      </c>
      <c r="R82" s="233" t="e">
        <f t="shared" si="9"/>
        <v>#NUM!</v>
      </c>
      <c r="S82" s="240"/>
      <c r="T82" s="233" t="e">
        <f t="shared" si="1"/>
        <v>#NUM!</v>
      </c>
      <c r="U82" s="226"/>
      <c r="V82" s="226"/>
      <c r="W82" s="226"/>
      <c r="X82" s="230"/>
      <c r="Y82" s="1"/>
    </row>
    <row r="83" spans="1:25" ht="15.75" x14ac:dyDescent="0.3">
      <c r="A83" s="1"/>
      <c r="B83" s="232">
        <v>52</v>
      </c>
      <c r="C83" s="233" t="e">
        <f t="shared" si="2"/>
        <v>#NUM!</v>
      </c>
      <c r="D83" s="241" t="e">
        <f t="shared" si="3"/>
        <v>#NUM!</v>
      </c>
      <c r="E83" s="233" t="e">
        <f t="shared" si="4"/>
        <v>#NUM!</v>
      </c>
      <c r="F83" s="233" t="e">
        <f t="shared" si="5"/>
        <v>#NUM!</v>
      </c>
      <c r="G83" s="240"/>
      <c r="H83" s="233" t="e">
        <f t="shared" si="0"/>
        <v>#NUM!</v>
      </c>
      <c r="I83" s="1"/>
      <c r="K83" s="227"/>
      <c r="L83" s="1"/>
      <c r="M83" s="1"/>
      <c r="N83" s="232">
        <v>52</v>
      </c>
      <c r="O83" s="233" t="e">
        <f t="shared" si="6"/>
        <v>#NUM!</v>
      </c>
      <c r="P83" s="241" t="e">
        <f t="shared" si="7"/>
        <v>#NUM!</v>
      </c>
      <c r="Q83" s="233" t="e">
        <f t="shared" si="8"/>
        <v>#NUM!</v>
      </c>
      <c r="R83" s="233" t="e">
        <f t="shared" si="9"/>
        <v>#NUM!</v>
      </c>
      <c r="S83" s="240"/>
      <c r="T83" s="233" t="e">
        <f t="shared" si="1"/>
        <v>#NUM!</v>
      </c>
      <c r="U83" s="226"/>
      <c r="V83" s="226"/>
      <c r="W83" s="226"/>
      <c r="X83" s="230"/>
      <c r="Y83" s="1"/>
    </row>
    <row r="84" spans="1:25" ht="15.75" x14ac:dyDescent="0.3">
      <c r="A84" s="1"/>
      <c r="B84" s="232">
        <v>53</v>
      </c>
      <c r="C84" s="233" t="e">
        <f t="shared" si="2"/>
        <v>#NUM!</v>
      </c>
      <c r="D84" s="241" t="e">
        <f t="shared" si="3"/>
        <v>#NUM!</v>
      </c>
      <c r="E84" s="233" t="e">
        <f t="shared" si="4"/>
        <v>#NUM!</v>
      </c>
      <c r="F84" s="233" t="e">
        <f t="shared" si="5"/>
        <v>#NUM!</v>
      </c>
      <c r="G84" s="240"/>
      <c r="H84" s="233" t="e">
        <f t="shared" si="0"/>
        <v>#NUM!</v>
      </c>
      <c r="I84" s="1"/>
      <c r="K84" s="227"/>
      <c r="L84" s="1"/>
      <c r="M84" s="1"/>
      <c r="N84" s="232">
        <v>53</v>
      </c>
      <c r="O84" s="233" t="e">
        <f t="shared" si="6"/>
        <v>#NUM!</v>
      </c>
      <c r="P84" s="241" t="e">
        <f t="shared" si="7"/>
        <v>#NUM!</v>
      </c>
      <c r="Q84" s="233" t="e">
        <f t="shared" si="8"/>
        <v>#NUM!</v>
      </c>
      <c r="R84" s="233" t="e">
        <f t="shared" si="9"/>
        <v>#NUM!</v>
      </c>
      <c r="S84" s="240"/>
      <c r="T84" s="233" t="e">
        <f t="shared" si="1"/>
        <v>#NUM!</v>
      </c>
      <c r="U84" s="226"/>
      <c r="V84" s="226"/>
      <c r="W84" s="226"/>
      <c r="X84" s="230"/>
      <c r="Y84" s="1"/>
    </row>
    <row r="85" spans="1:25" ht="15.75" x14ac:dyDescent="0.3">
      <c r="A85" s="1"/>
      <c r="B85" s="232">
        <v>54</v>
      </c>
      <c r="C85" s="233" t="e">
        <f t="shared" si="2"/>
        <v>#NUM!</v>
      </c>
      <c r="D85" s="241" t="e">
        <f t="shared" si="3"/>
        <v>#NUM!</v>
      </c>
      <c r="E85" s="233" t="e">
        <f t="shared" si="4"/>
        <v>#NUM!</v>
      </c>
      <c r="F85" s="233" t="e">
        <f t="shared" si="5"/>
        <v>#NUM!</v>
      </c>
      <c r="G85" s="240"/>
      <c r="H85" s="233" t="e">
        <f t="shared" si="0"/>
        <v>#NUM!</v>
      </c>
      <c r="I85" s="1"/>
      <c r="K85" s="227"/>
      <c r="L85" s="1"/>
      <c r="M85" s="1"/>
      <c r="N85" s="232">
        <v>54</v>
      </c>
      <c r="O85" s="233" t="e">
        <f t="shared" si="6"/>
        <v>#NUM!</v>
      </c>
      <c r="P85" s="241" t="e">
        <f t="shared" si="7"/>
        <v>#NUM!</v>
      </c>
      <c r="Q85" s="233" t="e">
        <f t="shared" si="8"/>
        <v>#NUM!</v>
      </c>
      <c r="R85" s="233" t="e">
        <f t="shared" si="9"/>
        <v>#NUM!</v>
      </c>
      <c r="S85" s="240"/>
      <c r="T85" s="233" t="e">
        <f t="shared" si="1"/>
        <v>#NUM!</v>
      </c>
      <c r="U85" s="226"/>
      <c r="V85" s="226"/>
      <c r="W85" s="226"/>
      <c r="X85" s="230"/>
      <c r="Y85" s="1"/>
    </row>
    <row r="86" spans="1:25" ht="15.75" x14ac:dyDescent="0.3">
      <c r="A86" s="1"/>
      <c r="B86" s="232">
        <v>55</v>
      </c>
      <c r="C86" s="233" t="e">
        <f t="shared" si="2"/>
        <v>#NUM!</v>
      </c>
      <c r="D86" s="241" t="e">
        <f t="shared" si="3"/>
        <v>#NUM!</v>
      </c>
      <c r="E86" s="233" t="e">
        <f t="shared" si="4"/>
        <v>#NUM!</v>
      </c>
      <c r="F86" s="233" t="e">
        <f t="shared" si="5"/>
        <v>#NUM!</v>
      </c>
      <c r="G86" s="240"/>
      <c r="H86" s="233" t="e">
        <f t="shared" si="0"/>
        <v>#NUM!</v>
      </c>
      <c r="I86" s="1"/>
      <c r="K86" s="227"/>
      <c r="L86" s="1"/>
      <c r="M86" s="1"/>
      <c r="N86" s="232">
        <v>55</v>
      </c>
      <c r="O86" s="233" t="e">
        <f t="shared" si="6"/>
        <v>#NUM!</v>
      </c>
      <c r="P86" s="241" t="e">
        <f t="shared" si="7"/>
        <v>#NUM!</v>
      </c>
      <c r="Q86" s="233" t="e">
        <f t="shared" si="8"/>
        <v>#NUM!</v>
      </c>
      <c r="R86" s="233" t="e">
        <f t="shared" si="9"/>
        <v>#NUM!</v>
      </c>
      <c r="S86" s="240"/>
      <c r="T86" s="233" t="e">
        <f t="shared" si="1"/>
        <v>#NUM!</v>
      </c>
      <c r="U86" s="226"/>
      <c r="V86" s="226"/>
      <c r="W86" s="226"/>
      <c r="X86" s="230"/>
      <c r="Y86" s="1"/>
    </row>
    <row r="87" spans="1:25" ht="15.75" x14ac:dyDescent="0.3">
      <c r="A87" s="1"/>
      <c r="B87" s="232">
        <v>56</v>
      </c>
      <c r="C87" s="233" t="e">
        <f t="shared" si="2"/>
        <v>#NUM!</v>
      </c>
      <c r="D87" s="241" t="e">
        <f t="shared" si="3"/>
        <v>#NUM!</v>
      </c>
      <c r="E87" s="233" t="e">
        <f t="shared" si="4"/>
        <v>#NUM!</v>
      </c>
      <c r="F87" s="233" t="e">
        <f t="shared" si="5"/>
        <v>#NUM!</v>
      </c>
      <c r="G87" s="240"/>
      <c r="H87" s="233" t="e">
        <f t="shared" si="0"/>
        <v>#NUM!</v>
      </c>
      <c r="I87" s="1"/>
      <c r="K87" s="227"/>
      <c r="L87" s="1"/>
      <c r="M87" s="1"/>
      <c r="N87" s="232">
        <v>56</v>
      </c>
      <c r="O87" s="233" t="e">
        <f t="shared" si="6"/>
        <v>#NUM!</v>
      </c>
      <c r="P87" s="241" t="e">
        <f t="shared" si="7"/>
        <v>#NUM!</v>
      </c>
      <c r="Q87" s="233" t="e">
        <f t="shared" si="8"/>
        <v>#NUM!</v>
      </c>
      <c r="R87" s="233" t="e">
        <f t="shared" si="9"/>
        <v>#NUM!</v>
      </c>
      <c r="S87" s="240"/>
      <c r="T87" s="233" t="e">
        <f t="shared" si="1"/>
        <v>#NUM!</v>
      </c>
      <c r="U87" s="226"/>
      <c r="V87" s="226"/>
      <c r="W87" s="226"/>
      <c r="X87" s="230"/>
      <c r="Y87" s="1"/>
    </row>
    <row r="88" spans="1:25" ht="15.75" x14ac:dyDescent="0.3">
      <c r="A88" s="1"/>
      <c r="B88" s="232">
        <v>57</v>
      </c>
      <c r="C88" s="233" t="e">
        <f t="shared" si="2"/>
        <v>#NUM!</v>
      </c>
      <c r="D88" s="241" t="e">
        <f t="shared" si="3"/>
        <v>#NUM!</v>
      </c>
      <c r="E88" s="233" t="e">
        <f t="shared" si="4"/>
        <v>#NUM!</v>
      </c>
      <c r="F88" s="233" t="e">
        <f t="shared" si="5"/>
        <v>#NUM!</v>
      </c>
      <c r="G88" s="240"/>
      <c r="H88" s="233" t="e">
        <f t="shared" si="0"/>
        <v>#NUM!</v>
      </c>
      <c r="I88" s="1"/>
      <c r="K88" s="227"/>
      <c r="L88" s="1"/>
      <c r="M88" s="1"/>
      <c r="N88" s="232">
        <v>57</v>
      </c>
      <c r="O88" s="233" t="e">
        <f t="shared" si="6"/>
        <v>#NUM!</v>
      </c>
      <c r="P88" s="241" t="e">
        <f t="shared" si="7"/>
        <v>#NUM!</v>
      </c>
      <c r="Q88" s="233" t="e">
        <f t="shared" si="8"/>
        <v>#NUM!</v>
      </c>
      <c r="R88" s="233" t="e">
        <f t="shared" si="9"/>
        <v>#NUM!</v>
      </c>
      <c r="S88" s="240"/>
      <c r="T88" s="233" t="e">
        <f t="shared" si="1"/>
        <v>#NUM!</v>
      </c>
      <c r="U88" s="226"/>
      <c r="V88" s="226"/>
      <c r="W88" s="226"/>
      <c r="X88" s="230"/>
      <c r="Y88" s="1"/>
    </row>
    <row r="89" spans="1:25" ht="15.75" x14ac:dyDescent="0.3">
      <c r="A89" s="1"/>
      <c r="B89" s="232">
        <v>58</v>
      </c>
      <c r="C89" s="233" t="e">
        <f t="shared" si="2"/>
        <v>#NUM!</v>
      </c>
      <c r="D89" s="241" t="e">
        <f t="shared" si="3"/>
        <v>#NUM!</v>
      </c>
      <c r="E89" s="233" t="e">
        <f t="shared" si="4"/>
        <v>#NUM!</v>
      </c>
      <c r="F89" s="233" t="e">
        <f t="shared" si="5"/>
        <v>#NUM!</v>
      </c>
      <c r="G89" s="240"/>
      <c r="H89" s="233" t="e">
        <f t="shared" si="0"/>
        <v>#NUM!</v>
      </c>
      <c r="I89" s="1"/>
      <c r="K89" s="227"/>
      <c r="L89" s="1"/>
      <c r="M89" s="1"/>
      <c r="N89" s="232">
        <v>58</v>
      </c>
      <c r="O89" s="233" t="e">
        <f t="shared" si="6"/>
        <v>#NUM!</v>
      </c>
      <c r="P89" s="241" t="e">
        <f t="shared" si="7"/>
        <v>#NUM!</v>
      </c>
      <c r="Q89" s="233" t="e">
        <f t="shared" si="8"/>
        <v>#NUM!</v>
      </c>
      <c r="R89" s="233" t="e">
        <f t="shared" si="9"/>
        <v>#NUM!</v>
      </c>
      <c r="S89" s="240"/>
      <c r="T89" s="233" t="e">
        <f t="shared" si="1"/>
        <v>#NUM!</v>
      </c>
      <c r="U89" s="226"/>
      <c r="V89" s="226"/>
      <c r="W89" s="226"/>
      <c r="X89" s="230"/>
      <c r="Y89" s="1"/>
    </row>
    <row r="90" spans="1:25" ht="15.75" x14ac:dyDescent="0.3">
      <c r="A90" s="1"/>
      <c r="B90" s="232">
        <v>59</v>
      </c>
      <c r="C90" s="233" t="e">
        <f t="shared" si="2"/>
        <v>#NUM!</v>
      </c>
      <c r="D90" s="241" t="e">
        <f t="shared" si="3"/>
        <v>#NUM!</v>
      </c>
      <c r="E90" s="233" t="e">
        <f t="shared" si="4"/>
        <v>#NUM!</v>
      </c>
      <c r="F90" s="233" t="e">
        <f t="shared" si="5"/>
        <v>#NUM!</v>
      </c>
      <c r="G90" s="240"/>
      <c r="H90" s="233" t="e">
        <f t="shared" si="0"/>
        <v>#NUM!</v>
      </c>
      <c r="I90" s="1"/>
      <c r="K90" s="227"/>
      <c r="L90" s="1"/>
      <c r="M90" s="1"/>
      <c r="N90" s="232">
        <v>59</v>
      </c>
      <c r="O90" s="233" t="e">
        <f t="shared" si="6"/>
        <v>#NUM!</v>
      </c>
      <c r="P90" s="241" t="e">
        <f t="shared" si="7"/>
        <v>#NUM!</v>
      </c>
      <c r="Q90" s="233" t="e">
        <f t="shared" si="8"/>
        <v>#NUM!</v>
      </c>
      <c r="R90" s="233" t="e">
        <f t="shared" si="9"/>
        <v>#NUM!</v>
      </c>
      <c r="S90" s="240"/>
      <c r="T90" s="233" t="e">
        <f t="shared" si="1"/>
        <v>#NUM!</v>
      </c>
      <c r="U90" s="226"/>
      <c r="V90" s="226"/>
      <c r="W90" s="226"/>
      <c r="X90" s="230"/>
      <c r="Y90" s="1"/>
    </row>
    <row r="91" spans="1:25" ht="15.75" x14ac:dyDescent="0.3">
      <c r="A91" s="1"/>
      <c r="B91" s="232">
        <v>60</v>
      </c>
      <c r="C91" s="233" t="e">
        <f t="shared" si="2"/>
        <v>#NUM!</v>
      </c>
      <c r="D91" s="241" t="e">
        <f t="shared" si="3"/>
        <v>#NUM!</v>
      </c>
      <c r="E91" s="233" t="e">
        <f t="shared" si="4"/>
        <v>#NUM!</v>
      </c>
      <c r="F91" s="233" t="e">
        <f t="shared" si="5"/>
        <v>#NUM!</v>
      </c>
      <c r="G91" s="240"/>
      <c r="H91" s="233" t="e">
        <f t="shared" si="0"/>
        <v>#NUM!</v>
      </c>
      <c r="I91" s="1"/>
      <c r="K91" s="227"/>
      <c r="L91" s="1"/>
      <c r="M91" s="1"/>
      <c r="N91" s="232">
        <v>60</v>
      </c>
      <c r="O91" s="233" t="e">
        <f t="shared" si="6"/>
        <v>#NUM!</v>
      </c>
      <c r="P91" s="241" t="e">
        <f t="shared" si="7"/>
        <v>#NUM!</v>
      </c>
      <c r="Q91" s="233" t="e">
        <f t="shared" si="8"/>
        <v>#NUM!</v>
      </c>
      <c r="R91" s="233" t="e">
        <f t="shared" si="9"/>
        <v>#NUM!</v>
      </c>
      <c r="S91" s="240"/>
      <c r="T91" s="233" t="e">
        <f t="shared" si="1"/>
        <v>#NUM!</v>
      </c>
      <c r="U91" s="226"/>
      <c r="V91" s="226"/>
      <c r="W91" s="226"/>
      <c r="X91" s="230"/>
      <c r="Y91" s="1"/>
    </row>
    <row r="92" spans="1:25" ht="15.75" x14ac:dyDescent="0.3">
      <c r="A92" s="1"/>
      <c r="B92" s="232">
        <v>61</v>
      </c>
      <c r="C92" s="233" t="e">
        <f t="shared" si="2"/>
        <v>#NUM!</v>
      </c>
      <c r="D92" s="241" t="e">
        <f t="shared" si="3"/>
        <v>#NUM!</v>
      </c>
      <c r="E92" s="233" t="e">
        <f t="shared" si="4"/>
        <v>#NUM!</v>
      </c>
      <c r="F92" s="233" t="e">
        <f t="shared" si="5"/>
        <v>#NUM!</v>
      </c>
      <c r="G92" s="240"/>
      <c r="H92" s="233" t="e">
        <f t="shared" si="0"/>
        <v>#NUM!</v>
      </c>
      <c r="I92" s="1"/>
      <c r="K92" s="227"/>
      <c r="L92" s="1"/>
      <c r="M92" s="1"/>
      <c r="N92" s="232">
        <v>61</v>
      </c>
      <c r="O92" s="233" t="e">
        <f t="shared" si="6"/>
        <v>#NUM!</v>
      </c>
      <c r="P92" s="241" t="e">
        <f t="shared" si="7"/>
        <v>#NUM!</v>
      </c>
      <c r="Q92" s="233" t="e">
        <f t="shared" si="8"/>
        <v>#NUM!</v>
      </c>
      <c r="R92" s="233" t="e">
        <f t="shared" si="9"/>
        <v>#NUM!</v>
      </c>
      <c r="S92" s="240"/>
      <c r="T92" s="233" t="e">
        <f t="shared" si="1"/>
        <v>#NUM!</v>
      </c>
      <c r="U92" s="226"/>
      <c r="V92" s="226"/>
      <c r="W92" s="226"/>
      <c r="X92" s="230"/>
      <c r="Y92" s="1"/>
    </row>
    <row r="93" spans="1:25" ht="15.75" x14ac:dyDescent="0.3">
      <c r="A93" s="1"/>
      <c r="B93" s="232">
        <v>62</v>
      </c>
      <c r="C93" s="233" t="e">
        <f t="shared" si="2"/>
        <v>#NUM!</v>
      </c>
      <c r="D93" s="241" t="e">
        <f t="shared" si="3"/>
        <v>#NUM!</v>
      </c>
      <c r="E93" s="233" t="e">
        <f t="shared" si="4"/>
        <v>#NUM!</v>
      </c>
      <c r="F93" s="233" t="e">
        <f t="shared" si="5"/>
        <v>#NUM!</v>
      </c>
      <c r="G93" s="240"/>
      <c r="H93" s="233" t="e">
        <f t="shared" si="0"/>
        <v>#NUM!</v>
      </c>
      <c r="I93" s="1"/>
      <c r="K93" s="227"/>
      <c r="L93" s="1"/>
      <c r="M93" s="1"/>
      <c r="N93" s="232">
        <v>62</v>
      </c>
      <c r="O93" s="233" t="e">
        <f t="shared" si="6"/>
        <v>#NUM!</v>
      </c>
      <c r="P93" s="241" t="e">
        <f t="shared" si="7"/>
        <v>#NUM!</v>
      </c>
      <c r="Q93" s="233" t="e">
        <f t="shared" si="8"/>
        <v>#NUM!</v>
      </c>
      <c r="R93" s="233" t="e">
        <f t="shared" si="9"/>
        <v>#NUM!</v>
      </c>
      <c r="S93" s="240"/>
      <c r="T93" s="233" t="e">
        <f t="shared" si="1"/>
        <v>#NUM!</v>
      </c>
      <c r="U93" s="226"/>
      <c r="V93" s="226"/>
      <c r="W93" s="226"/>
      <c r="X93" s="230"/>
      <c r="Y93" s="1"/>
    </row>
    <row r="94" spans="1:25" ht="15.75" x14ac:dyDescent="0.3">
      <c r="A94" s="1"/>
      <c r="B94" s="232">
        <v>63</v>
      </c>
      <c r="C94" s="233" t="e">
        <f t="shared" si="2"/>
        <v>#NUM!</v>
      </c>
      <c r="D94" s="241" t="e">
        <f t="shared" si="3"/>
        <v>#NUM!</v>
      </c>
      <c r="E94" s="233" t="e">
        <f t="shared" si="4"/>
        <v>#NUM!</v>
      </c>
      <c r="F94" s="233" t="e">
        <f t="shared" si="5"/>
        <v>#NUM!</v>
      </c>
      <c r="G94" s="240"/>
      <c r="H94" s="233" t="e">
        <f t="shared" si="0"/>
        <v>#NUM!</v>
      </c>
      <c r="I94" s="1"/>
      <c r="K94" s="227"/>
      <c r="L94" s="1"/>
      <c r="M94" s="1"/>
      <c r="N94" s="232">
        <v>63</v>
      </c>
      <c r="O94" s="233" t="e">
        <f t="shared" si="6"/>
        <v>#NUM!</v>
      </c>
      <c r="P94" s="241" t="e">
        <f t="shared" si="7"/>
        <v>#NUM!</v>
      </c>
      <c r="Q94" s="233" t="e">
        <f t="shared" si="8"/>
        <v>#NUM!</v>
      </c>
      <c r="R94" s="233" t="e">
        <f t="shared" si="9"/>
        <v>#NUM!</v>
      </c>
      <c r="S94" s="240"/>
      <c r="T94" s="233" t="e">
        <f t="shared" si="1"/>
        <v>#NUM!</v>
      </c>
      <c r="U94" s="226"/>
      <c r="V94" s="226"/>
      <c r="W94" s="226"/>
      <c r="X94" s="230"/>
      <c r="Y94" s="1"/>
    </row>
    <row r="95" spans="1:25" ht="15.75" x14ac:dyDescent="0.3">
      <c r="A95" s="1"/>
      <c r="B95" s="232">
        <v>64</v>
      </c>
      <c r="C95" s="233" t="e">
        <f t="shared" si="2"/>
        <v>#NUM!</v>
      </c>
      <c r="D95" s="241" t="e">
        <f t="shared" si="3"/>
        <v>#NUM!</v>
      </c>
      <c r="E95" s="233" t="e">
        <f t="shared" si="4"/>
        <v>#NUM!</v>
      </c>
      <c r="F95" s="233" t="e">
        <f t="shared" si="5"/>
        <v>#NUM!</v>
      </c>
      <c r="G95" s="240"/>
      <c r="H95" s="233" t="e">
        <f t="shared" si="0"/>
        <v>#NUM!</v>
      </c>
      <c r="I95" s="1"/>
      <c r="K95" s="227"/>
      <c r="L95" s="1"/>
      <c r="M95" s="1"/>
      <c r="N95" s="232">
        <v>64</v>
      </c>
      <c r="O95" s="233" t="e">
        <f t="shared" si="6"/>
        <v>#NUM!</v>
      </c>
      <c r="P95" s="241" t="e">
        <f t="shared" si="7"/>
        <v>#NUM!</v>
      </c>
      <c r="Q95" s="233" t="e">
        <f t="shared" si="8"/>
        <v>#NUM!</v>
      </c>
      <c r="R95" s="233" t="e">
        <f t="shared" si="9"/>
        <v>#NUM!</v>
      </c>
      <c r="S95" s="240"/>
      <c r="T95" s="233" t="e">
        <f t="shared" si="1"/>
        <v>#NUM!</v>
      </c>
      <c r="U95" s="226"/>
      <c r="V95" s="226"/>
      <c r="W95" s="226"/>
      <c r="X95" s="230"/>
      <c r="Y95" s="1"/>
    </row>
    <row r="96" spans="1:25" ht="15.75" x14ac:dyDescent="0.3">
      <c r="A96" s="1"/>
      <c r="B96" s="232">
        <v>65</v>
      </c>
      <c r="C96" s="233" t="e">
        <f t="shared" si="2"/>
        <v>#NUM!</v>
      </c>
      <c r="D96" s="241" t="e">
        <f t="shared" si="3"/>
        <v>#NUM!</v>
      </c>
      <c r="E96" s="233" t="e">
        <f t="shared" si="4"/>
        <v>#NUM!</v>
      </c>
      <c r="F96" s="233" t="e">
        <f t="shared" si="5"/>
        <v>#NUM!</v>
      </c>
      <c r="G96" s="240"/>
      <c r="H96" s="233" t="e">
        <f t="shared" ref="H96:H103" si="10">F96-G96</f>
        <v>#NUM!</v>
      </c>
      <c r="I96" s="1"/>
      <c r="K96" s="227"/>
      <c r="L96" s="1"/>
      <c r="M96" s="1"/>
      <c r="N96" s="232">
        <v>65</v>
      </c>
      <c r="O96" s="233" t="e">
        <f t="shared" si="6"/>
        <v>#NUM!</v>
      </c>
      <c r="P96" s="241" t="e">
        <f t="shared" si="7"/>
        <v>#NUM!</v>
      </c>
      <c r="Q96" s="233" t="e">
        <f t="shared" si="8"/>
        <v>#NUM!</v>
      </c>
      <c r="R96" s="233" t="e">
        <f t="shared" si="9"/>
        <v>#NUM!</v>
      </c>
      <c r="S96" s="240"/>
      <c r="T96" s="233" t="e">
        <f t="shared" ref="T96:T103" si="11">R96-S96</f>
        <v>#NUM!</v>
      </c>
      <c r="U96" s="226"/>
      <c r="V96" s="226"/>
      <c r="W96" s="226"/>
      <c r="X96" s="230"/>
      <c r="Y96" s="1"/>
    </row>
    <row r="97" spans="1:25" ht="15.75" x14ac:dyDescent="0.3">
      <c r="A97" s="1"/>
      <c r="B97" s="232">
        <v>66</v>
      </c>
      <c r="C97" s="233" t="e">
        <f t="shared" ref="C97:C103" si="12">IF(H96&lt;-PMT(H$28,H$27,$F$31),H96*(1+$H$28),-PMT(H$28,H$27,$F$31))</f>
        <v>#NUM!</v>
      </c>
      <c r="D97" s="241" t="e">
        <f t="shared" ref="D97:D103" si="13">H96*$H$28</f>
        <v>#NUM!</v>
      </c>
      <c r="E97" s="233" t="e">
        <f t="shared" ref="E97:E103" si="14">C97-D97</f>
        <v>#NUM!</v>
      </c>
      <c r="F97" s="233" t="e">
        <f t="shared" ref="F97:F103" si="15">H96-E97</f>
        <v>#NUM!</v>
      </c>
      <c r="G97" s="240"/>
      <c r="H97" s="233" t="e">
        <f t="shared" si="10"/>
        <v>#NUM!</v>
      </c>
      <c r="I97" s="1"/>
      <c r="K97" s="227"/>
      <c r="L97" s="1"/>
      <c r="M97" s="1"/>
      <c r="N97" s="232">
        <v>66</v>
      </c>
      <c r="O97" s="233" t="e">
        <f t="shared" ref="O97:O103" si="16">IF(T96&lt;-PMT(T$28,T$27,$F$31),T96*(1+$H$28),-PMT(T$28,T$27,$F$31))</f>
        <v>#NUM!</v>
      </c>
      <c r="P97" s="241" t="e">
        <f t="shared" ref="P97:P103" si="17">T96*$H$28</f>
        <v>#NUM!</v>
      </c>
      <c r="Q97" s="233" t="e">
        <f t="shared" ref="Q97:Q103" si="18">O97-P97</f>
        <v>#NUM!</v>
      </c>
      <c r="R97" s="233" t="e">
        <f t="shared" ref="R97:R103" si="19">T96-Q97</f>
        <v>#NUM!</v>
      </c>
      <c r="S97" s="240"/>
      <c r="T97" s="233" t="e">
        <f t="shared" si="11"/>
        <v>#NUM!</v>
      </c>
      <c r="U97" s="226"/>
      <c r="V97" s="226"/>
      <c r="W97" s="226"/>
      <c r="X97" s="230"/>
      <c r="Y97" s="1"/>
    </row>
    <row r="98" spans="1:25" ht="15.75" x14ac:dyDescent="0.3">
      <c r="A98" s="1"/>
      <c r="B98" s="232">
        <v>67</v>
      </c>
      <c r="C98" s="233" t="e">
        <f t="shared" si="12"/>
        <v>#NUM!</v>
      </c>
      <c r="D98" s="241" t="e">
        <f t="shared" si="13"/>
        <v>#NUM!</v>
      </c>
      <c r="E98" s="233" t="e">
        <f t="shared" si="14"/>
        <v>#NUM!</v>
      </c>
      <c r="F98" s="233" t="e">
        <f t="shared" si="15"/>
        <v>#NUM!</v>
      </c>
      <c r="G98" s="240"/>
      <c r="H98" s="233" t="e">
        <f t="shared" si="10"/>
        <v>#NUM!</v>
      </c>
      <c r="I98" s="1"/>
      <c r="K98" s="227"/>
      <c r="L98" s="1"/>
      <c r="M98" s="1"/>
      <c r="N98" s="232">
        <v>67</v>
      </c>
      <c r="O98" s="233" t="e">
        <f t="shared" si="16"/>
        <v>#NUM!</v>
      </c>
      <c r="P98" s="241" t="e">
        <f t="shared" si="17"/>
        <v>#NUM!</v>
      </c>
      <c r="Q98" s="233" t="e">
        <f t="shared" si="18"/>
        <v>#NUM!</v>
      </c>
      <c r="R98" s="233" t="e">
        <f t="shared" si="19"/>
        <v>#NUM!</v>
      </c>
      <c r="S98" s="240"/>
      <c r="T98" s="233" t="e">
        <f t="shared" si="11"/>
        <v>#NUM!</v>
      </c>
      <c r="U98" s="226"/>
      <c r="V98" s="226"/>
      <c r="W98" s="226"/>
      <c r="X98" s="230"/>
      <c r="Y98" s="1"/>
    </row>
    <row r="99" spans="1:25" ht="15.75" x14ac:dyDescent="0.3">
      <c r="A99" s="1"/>
      <c r="B99" s="232">
        <v>68</v>
      </c>
      <c r="C99" s="233" t="e">
        <f t="shared" si="12"/>
        <v>#NUM!</v>
      </c>
      <c r="D99" s="241" t="e">
        <f t="shared" si="13"/>
        <v>#NUM!</v>
      </c>
      <c r="E99" s="233" t="e">
        <f t="shared" si="14"/>
        <v>#NUM!</v>
      </c>
      <c r="F99" s="233" t="e">
        <f t="shared" si="15"/>
        <v>#NUM!</v>
      </c>
      <c r="G99" s="240"/>
      <c r="H99" s="233" t="e">
        <f t="shared" si="10"/>
        <v>#NUM!</v>
      </c>
      <c r="I99" s="1"/>
      <c r="K99" s="227"/>
      <c r="L99" s="1"/>
      <c r="M99" s="1"/>
      <c r="N99" s="232">
        <v>68</v>
      </c>
      <c r="O99" s="233" t="e">
        <f t="shared" si="16"/>
        <v>#NUM!</v>
      </c>
      <c r="P99" s="241" t="e">
        <f t="shared" si="17"/>
        <v>#NUM!</v>
      </c>
      <c r="Q99" s="233" t="e">
        <f t="shared" si="18"/>
        <v>#NUM!</v>
      </c>
      <c r="R99" s="233" t="e">
        <f t="shared" si="19"/>
        <v>#NUM!</v>
      </c>
      <c r="S99" s="240"/>
      <c r="T99" s="233" t="e">
        <f t="shared" si="11"/>
        <v>#NUM!</v>
      </c>
      <c r="U99" s="226"/>
      <c r="V99" s="226"/>
      <c r="W99" s="226"/>
      <c r="X99" s="230"/>
      <c r="Y99" s="1"/>
    </row>
    <row r="100" spans="1:25" ht="15.75" x14ac:dyDescent="0.3">
      <c r="A100" s="1"/>
      <c r="B100" s="232">
        <v>69</v>
      </c>
      <c r="C100" s="233" t="e">
        <f t="shared" si="12"/>
        <v>#NUM!</v>
      </c>
      <c r="D100" s="241" t="e">
        <f t="shared" si="13"/>
        <v>#NUM!</v>
      </c>
      <c r="E100" s="233" t="e">
        <f t="shared" si="14"/>
        <v>#NUM!</v>
      </c>
      <c r="F100" s="233" t="e">
        <f t="shared" si="15"/>
        <v>#NUM!</v>
      </c>
      <c r="G100" s="240"/>
      <c r="H100" s="233" t="e">
        <f t="shared" si="10"/>
        <v>#NUM!</v>
      </c>
      <c r="I100" s="1"/>
      <c r="K100" s="227"/>
      <c r="L100" s="1"/>
      <c r="M100" s="1"/>
      <c r="N100" s="232">
        <v>69</v>
      </c>
      <c r="O100" s="233" t="e">
        <f t="shared" si="16"/>
        <v>#NUM!</v>
      </c>
      <c r="P100" s="241" t="e">
        <f t="shared" si="17"/>
        <v>#NUM!</v>
      </c>
      <c r="Q100" s="233" t="e">
        <f t="shared" si="18"/>
        <v>#NUM!</v>
      </c>
      <c r="R100" s="233" t="e">
        <f t="shared" si="19"/>
        <v>#NUM!</v>
      </c>
      <c r="S100" s="240"/>
      <c r="T100" s="233" t="e">
        <f t="shared" si="11"/>
        <v>#NUM!</v>
      </c>
      <c r="U100" s="226"/>
      <c r="V100" s="226"/>
      <c r="W100" s="226"/>
      <c r="X100" s="230"/>
      <c r="Y100" s="1"/>
    </row>
    <row r="101" spans="1:25" ht="15.75" x14ac:dyDescent="0.3">
      <c r="A101" s="1"/>
      <c r="B101" s="232">
        <v>70</v>
      </c>
      <c r="C101" s="233" t="e">
        <f t="shared" si="12"/>
        <v>#NUM!</v>
      </c>
      <c r="D101" s="241" t="e">
        <f t="shared" si="13"/>
        <v>#NUM!</v>
      </c>
      <c r="E101" s="233" t="e">
        <f t="shared" si="14"/>
        <v>#NUM!</v>
      </c>
      <c r="F101" s="233" t="e">
        <f t="shared" si="15"/>
        <v>#NUM!</v>
      </c>
      <c r="G101" s="240"/>
      <c r="H101" s="233" t="e">
        <f t="shared" si="10"/>
        <v>#NUM!</v>
      </c>
      <c r="I101" s="1"/>
      <c r="K101" s="227"/>
      <c r="L101" s="1"/>
      <c r="M101" s="1"/>
      <c r="N101" s="232">
        <v>70</v>
      </c>
      <c r="O101" s="233" t="e">
        <f t="shared" si="16"/>
        <v>#NUM!</v>
      </c>
      <c r="P101" s="241" t="e">
        <f t="shared" si="17"/>
        <v>#NUM!</v>
      </c>
      <c r="Q101" s="233" t="e">
        <f t="shared" si="18"/>
        <v>#NUM!</v>
      </c>
      <c r="R101" s="233" t="e">
        <f t="shared" si="19"/>
        <v>#NUM!</v>
      </c>
      <c r="S101" s="240"/>
      <c r="T101" s="233" t="e">
        <f t="shared" si="11"/>
        <v>#NUM!</v>
      </c>
      <c r="U101" s="226"/>
      <c r="V101" s="226"/>
      <c r="W101" s="226"/>
      <c r="X101" s="230"/>
      <c r="Y101" s="1"/>
    </row>
    <row r="102" spans="1:25" ht="15.75" x14ac:dyDescent="0.3">
      <c r="A102" s="1"/>
      <c r="B102" s="232">
        <v>71</v>
      </c>
      <c r="C102" s="233" t="e">
        <f t="shared" si="12"/>
        <v>#NUM!</v>
      </c>
      <c r="D102" s="241" t="e">
        <f t="shared" si="13"/>
        <v>#NUM!</v>
      </c>
      <c r="E102" s="233" t="e">
        <f t="shared" si="14"/>
        <v>#NUM!</v>
      </c>
      <c r="F102" s="233" t="e">
        <f t="shared" si="15"/>
        <v>#NUM!</v>
      </c>
      <c r="G102" s="240"/>
      <c r="H102" s="233" t="e">
        <f t="shared" si="10"/>
        <v>#NUM!</v>
      </c>
      <c r="I102" s="1"/>
      <c r="K102" s="227"/>
      <c r="L102" s="1"/>
      <c r="M102" s="1"/>
      <c r="N102" s="232">
        <v>71</v>
      </c>
      <c r="O102" s="233" t="e">
        <f t="shared" si="16"/>
        <v>#NUM!</v>
      </c>
      <c r="P102" s="241" t="e">
        <f t="shared" si="17"/>
        <v>#NUM!</v>
      </c>
      <c r="Q102" s="233" t="e">
        <f t="shared" si="18"/>
        <v>#NUM!</v>
      </c>
      <c r="R102" s="233" t="e">
        <f t="shared" si="19"/>
        <v>#NUM!</v>
      </c>
      <c r="S102" s="240"/>
      <c r="T102" s="233" t="e">
        <f t="shared" si="11"/>
        <v>#NUM!</v>
      </c>
      <c r="U102" s="226"/>
      <c r="V102" s="226"/>
      <c r="W102" s="226"/>
      <c r="X102" s="230"/>
      <c r="Y102" s="1"/>
    </row>
    <row r="103" spans="1:25" ht="15.75" x14ac:dyDescent="0.3">
      <c r="A103" s="1"/>
      <c r="B103" s="232">
        <v>72</v>
      </c>
      <c r="C103" s="233" t="e">
        <f t="shared" si="12"/>
        <v>#NUM!</v>
      </c>
      <c r="D103" s="241" t="e">
        <f t="shared" si="13"/>
        <v>#NUM!</v>
      </c>
      <c r="E103" s="233" t="e">
        <f t="shared" si="14"/>
        <v>#NUM!</v>
      </c>
      <c r="F103" s="233" t="e">
        <f t="shared" si="15"/>
        <v>#NUM!</v>
      </c>
      <c r="G103" s="240"/>
      <c r="H103" s="233" t="e">
        <f t="shared" si="10"/>
        <v>#NUM!</v>
      </c>
      <c r="I103" s="1"/>
      <c r="K103" s="227"/>
      <c r="L103" s="1"/>
      <c r="M103" s="1"/>
      <c r="N103" s="232">
        <v>72</v>
      </c>
      <c r="O103" s="233" t="e">
        <f t="shared" si="16"/>
        <v>#NUM!</v>
      </c>
      <c r="P103" s="241" t="e">
        <f t="shared" si="17"/>
        <v>#NUM!</v>
      </c>
      <c r="Q103" s="233" t="e">
        <f t="shared" si="18"/>
        <v>#NUM!</v>
      </c>
      <c r="R103" s="233" t="e">
        <f t="shared" si="19"/>
        <v>#NUM!</v>
      </c>
      <c r="S103" s="240"/>
      <c r="T103" s="233" t="e">
        <f t="shared" si="11"/>
        <v>#NUM!</v>
      </c>
      <c r="U103" s="226"/>
      <c r="V103" s="226"/>
      <c r="W103" s="226"/>
      <c r="X103" s="230"/>
      <c r="Y103" s="1"/>
    </row>
    <row r="104" spans="1:25" ht="15.75" x14ac:dyDescent="0.3">
      <c r="A104" s="1"/>
      <c r="B104" s="232">
        <v>81</v>
      </c>
      <c r="C104" s="233" t="e">
        <f t="shared" ref="C104:C167" si="20">IF(H103&lt;-PMT(H$28,H$27,$F$31),H103*(1+$H$28),-PMT(H$28,H$27,$F$31))</f>
        <v>#NUM!</v>
      </c>
      <c r="D104" s="241" t="e">
        <f t="shared" ref="D104:D167" si="21">H103*$H$28</f>
        <v>#NUM!</v>
      </c>
      <c r="E104" s="233" t="e">
        <f t="shared" ref="E104:E167" si="22">C104-D104</f>
        <v>#NUM!</v>
      </c>
      <c r="F104" s="233" t="e">
        <f t="shared" ref="F104:F167" si="23">H103-E104</f>
        <v>#NUM!</v>
      </c>
      <c r="G104" s="240"/>
      <c r="H104" s="233" t="e">
        <f t="shared" ref="H104:H167" si="24">F104-G104</f>
        <v>#NUM!</v>
      </c>
      <c r="I104" s="1"/>
      <c r="K104" s="227"/>
      <c r="L104" s="1"/>
      <c r="M104" s="1"/>
      <c r="N104" s="232">
        <v>81</v>
      </c>
      <c r="O104" s="233" t="e">
        <f t="shared" ref="O104:O167" si="25">IF(T103&lt;-PMT(T$28,T$27,$F$31),T103*(1+$H$28),-PMT(T$28,T$27,$F$31))</f>
        <v>#NUM!</v>
      </c>
      <c r="P104" s="241" t="e">
        <f t="shared" ref="P104:P167" si="26">T103*$H$28</f>
        <v>#NUM!</v>
      </c>
      <c r="Q104" s="233" t="e">
        <f t="shared" ref="Q104:Q167" si="27">O104-P104</f>
        <v>#NUM!</v>
      </c>
      <c r="R104" s="233" t="e">
        <f t="shared" ref="R104:R167" si="28">T103-Q104</f>
        <v>#NUM!</v>
      </c>
      <c r="S104" s="240"/>
      <c r="T104" s="233" t="e">
        <f t="shared" ref="T104:T167" si="29">R104-S104</f>
        <v>#NUM!</v>
      </c>
      <c r="U104" s="226"/>
      <c r="V104" s="226"/>
      <c r="W104" s="226"/>
      <c r="X104" s="230"/>
      <c r="Y104" s="1"/>
    </row>
    <row r="105" spans="1:25" ht="15.75" x14ac:dyDescent="0.3">
      <c r="A105" s="1"/>
      <c r="B105" s="232">
        <v>82</v>
      </c>
      <c r="C105" s="233" t="e">
        <f t="shared" si="20"/>
        <v>#NUM!</v>
      </c>
      <c r="D105" s="241" t="e">
        <f t="shared" si="21"/>
        <v>#NUM!</v>
      </c>
      <c r="E105" s="233" t="e">
        <f t="shared" si="22"/>
        <v>#NUM!</v>
      </c>
      <c r="F105" s="233" t="e">
        <f t="shared" si="23"/>
        <v>#NUM!</v>
      </c>
      <c r="G105" s="240"/>
      <c r="H105" s="233" t="e">
        <f t="shared" si="24"/>
        <v>#NUM!</v>
      </c>
      <c r="I105" s="1"/>
      <c r="K105" s="227"/>
      <c r="L105" s="1"/>
      <c r="M105" s="1"/>
      <c r="N105" s="232">
        <v>82</v>
      </c>
      <c r="O105" s="233" t="e">
        <f t="shared" si="25"/>
        <v>#NUM!</v>
      </c>
      <c r="P105" s="241" t="e">
        <f t="shared" si="26"/>
        <v>#NUM!</v>
      </c>
      <c r="Q105" s="233" t="e">
        <f t="shared" si="27"/>
        <v>#NUM!</v>
      </c>
      <c r="R105" s="233" t="e">
        <f t="shared" si="28"/>
        <v>#NUM!</v>
      </c>
      <c r="S105" s="240"/>
      <c r="T105" s="233" t="e">
        <f t="shared" si="29"/>
        <v>#NUM!</v>
      </c>
      <c r="U105" s="226"/>
      <c r="V105" s="226"/>
      <c r="W105" s="226"/>
      <c r="X105" s="230"/>
      <c r="Y105" s="1"/>
    </row>
    <row r="106" spans="1:25" ht="15.75" x14ac:dyDescent="0.3">
      <c r="A106" s="1"/>
      <c r="B106" s="232">
        <v>83</v>
      </c>
      <c r="C106" s="233" t="e">
        <f t="shared" si="20"/>
        <v>#NUM!</v>
      </c>
      <c r="D106" s="241" t="e">
        <f t="shared" si="21"/>
        <v>#NUM!</v>
      </c>
      <c r="E106" s="233" t="e">
        <f t="shared" si="22"/>
        <v>#NUM!</v>
      </c>
      <c r="F106" s="233" t="e">
        <f t="shared" si="23"/>
        <v>#NUM!</v>
      </c>
      <c r="G106" s="240"/>
      <c r="H106" s="233" t="e">
        <f t="shared" si="24"/>
        <v>#NUM!</v>
      </c>
      <c r="I106" s="1"/>
      <c r="K106" s="227"/>
      <c r="L106" s="1"/>
      <c r="M106" s="1"/>
      <c r="N106" s="232">
        <v>83</v>
      </c>
      <c r="O106" s="233" t="e">
        <f t="shared" si="25"/>
        <v>#NUM!</v>
      </c>
      <c r="P106" s="241" t="e">
        <f t="shared" si="26"/>
        <v>#NUM!</v>
      </c>
      <c r="Q106" s="233" t="e">
        <f t="shared" si="27"/>
        <v>#NUM!</v>
      </c>
      <c r="R106" s="233" t="e">
        <f t="shared" si="28"/>
        <v>#NUM!</v>
      </c>
      <c r="S106" s="240"/>
      <c r="T106" s="233" t="e">
        <f t="shared" si="29"/>
        <v>#NUM!</v>
      </c>
      <c r="U106" s="226"/>
      <c r="V106" s="226"/>
      <c r="W106" s="226"/>
      <c r="X106" s="230"/>
      <c r="Y106" s="1"/>
    </row>
    <row r="107" spans="1:25" ht="15.75" x14ac:dyDescent="0.3">
      <c r="A107" s="1"/>
      <c r="B107" s="232">
        <v>84</v>
      </c>
      <c r="C107" s="233" t="e">
        <f t="shared" si="20"/>
        <v>#NUM!</v>
      </c>
      <c r="D107" s="241" t="e">
        <f t="shared" si="21"/>
        <v>#NUM!</v>
      </c>
      <c r="E107" s="233" t="e">
        <f t="shared" si="22"/>
        <v>#NUM!</v>
      </c>
      <c r="F107" s="233" t="e">
        <f t="shared" si="23"/>
        <v>#NUM!</v>
      </c>
      <c r="G107" s="240"/>
      <c r="H107" s="233" t="e">
        <f t="shared" si="24"/>
        <v>#NUM!</v>
      </c>
      <c r="I107" s="1"/>
      <c r="K107" s="227"/>
      <c r="L107" s="1"/>
      <c r="M107" s="1"/>
      <c r="N107" s="232">
        <v>84</v>
      </c>
      <c r="O107" s="233" t="e">
        <f t="shared" si="25"/>
        <v>#NUM!</v>
      </c>
      <c r="P107" s="241" t="e">
        <f t="shared" si="26"/>
        <v>#NUM!</v>
      </c>
      <c r="Q107" s="233" t="e">
        <f t="shared" si="27"/>
        <v>#NUM!</v>
      </c>
      <c r="R107" s="233" t="e">
        <f t="shared" si="28"/>
        <v>#NUM!</v>
      </c>
      <c r="S107" s="240"/>
      <c r="T107" s="233" t="e">
        <f t="shared" si="29"/>
        <v>#NUM!</v>
      </c>
      <c r="U107" s="226"/>
      <c r="V107" s="226"/>
      <c r="W107" s="226"/>
      <c r="X107" s="230"/>
      <c r="Y107" s="1"/>
    </row>
    <row r="108" spans="1:25" ht="15.75" x14ac:dyDescent="0.3">
      <c r="A108" s="1"/>
      <c r="B108" s="232">
        <v>85</v>
      </c>
      <c r="C108" s="233" t="e">
        <f t="shared" si="20"/>
        <v>#NUM!</v>
      </c>
      <c r="D108" s="241" t="e">
        <f t="shared" si="21"/>
        <v>#NUM!</v>
      </c>
      <c r="E108" s="233" t="e">
        <f t="shared" si="22"/>
        <v>#NUM!</v>
      </c>
      <c r="F108" s="233" t="e">
        <f t="shared" si="23"/>
        <v>#NUM!</v>
      </c>
      <c r="G108" s="240"/>
      <c r="H108" s="233" t="e">
        <f t="shared" si="24"/>
        <v>#NUM!</v>
      </c>
      <c r="I108" s="1"/>
      <c r="K108" s="227"/>
      <c r="L108" s="1"/>
      <c r="M108" s="1"/>
      <c r="N108" s="232">
        <v>85</v>
      </c>
      <c r="O108" s="233" t="e">
        <f t="shared" si="25"/>
        <v>#NUM!</v>
      </c>
      <c r="P108" s="241" t="e">
        <f t="shared" si="26"/>
        <v>#NUM!</v>
      </c>
      <c r="Q108" s="233" t="e">
        <f t="shared" si="27"/>
        <v>#NUM!</v>
      </c>
      <c r="R108" s="233" t="e">
        <f t="shared" si="28"/>
        <v>#NUM!</v>
      </c>
      <c r="S108" s="240"/>
      <c r="T108" s="233" t="e">
        <f t="shared" si="29"/>
        <v>#NUM!</v>
      </c>
      <c r="U108" s="226"/>
      <c r="V108" s="226"/>
      <c r="W108" s="226"/>
      <c r="X108" s="230"/>
      <c r="Y108" s="1"/>
    </row>
    <row r="109" spans="1:25" ht="15.75" x14ac:dyDescent="0.3">
      <c r="A109" s="1"/>
      <c r="B109" s="232">
        <v>86</v>
      </c>
      <c r="C109" s="233" t="e">
        <f t="shared" si="20"/>
        <v>#NUM!</v>
      </c>
      <c r="D109" s="241" t="e">
        <f t="shared" si="21"/>
        <v>#NUM!</v>
      </c>
      <c r="E109" s="233" t="e">
        <f t="shared" si="22"/>
        <v>#NUM!</v>
      </c>
      <c r="F109" s="233" t="e">
        <f t="shared" si="23"/>
        <v>#NUM!</v>
      </c>
      <c r="G109" s="240"/>
      <c r="H109" s="233" t="e">
        <f t="shared" si="24"/>
        <v>#NUM!</v>
      </c>
      <c r="I109" s="1"/>
      <c r="K109" s="227"/>
      <c r="L109" s="1"/>
      <c r="M109" s="1"/>
      <c r="N109" s="232">
        <v>86</v>
      </c>
      <c r="O109" s="233" t="e">
        <f t="shared" si="25"/>
        <v>#NUM!</v>
      </c>
      <c r="P109" s="241" t="e">
        <f t="shared" si="26"/>
        <v>#NUM!</v>
      </c>
      <c r="Q109" s="233" t="e">
        <f t="shared" si="27"/>
        <v>#NUM!</v>
      </c>
      <c r="R109" s="233" t="e">
        <f t="shared" si="28"/>
        <v>#NUM!</v>
      </c>
      <c r="S109" s="240"/>
      <c r="T109" s="233" t="e">
        <f t="shared" si="29"/>
        <v>#NUM!</v>
      </c>
      <c r="U109" s="226"/>
      <c r="V109" s="226"/>
      <c r="W109" s="226"/>
      <c r="X109" s="230"/>
      <c r="Y109" s="1"/>
    </row>
    <row r="110" spans="1:25" ht="15.75" x14ac:dyDescent="0.3">
      <c r="A110" s="1"/>
      <c r="B110" s="232">
        <v>87</v>
      </c>
      <c r="C110" s="233" t="e">
        <f t="shared" si="20"/>
        <v>#NUM!</v>
      </c>
      <c r="D110" s="241" t="e">
        <f t="shared" si="21"/>
        <v>#NUM!</v>
      </c>
      <c r="E110" s="233" t="e">
        <f t="shared" si="22"/>
        <v>#NUM!</v>
      </c>
      <c r="F110" s="233" t="e">
        <f t="shared" si="23"/>
        <v>#NUM!</v>
      </c>
      <c r="G110" s="240"/>
      <c r="H110" s="233" t="e">
        <f t="shared" si="24"/>
        <v>#NUM!</v>
      </c>
      <c r="I110" s="1"/>
      <c r="K110" s="227"/>
      <c r="L110" s="1"/>
      <c r="M110" s="1"/>
      <c r="N110" s="232">
        <v>87</v>
      </c>
      <c r="O110" s="233" t="e">
        <f t="shared" si="25"/>
        <v>#NUM!</v>
      </c>
      <c r="P110" s="241" t="e">
        <f t="shared" si="26"/>
        <v>#NUM!</v>
      </c>
      <c r="Q110" s="233" t="e">
        <f t="shared" si="27"/>
        <v>#NUM!</v>
      </c>
      <c r="R110" s="233" t="e">
        <f t="shared" si="28"/>
        <v>#NUM!</v>
      </c>
      <c r="S110" s="240"/>
      <c r="T110" s="233" t="e">
        <f t="shared" si="29"/>
        <v>#NUM!</v>
      </c>
      <c r="U110" s="226"/>
      <c r="V110" s="226"/>
      <c r="W110" s="226"/>
      <c r="X110" s="230"/>
      <c r="Y110" s="1"/>
    </row>
    <row r="111" spans="1:25" ht="15.75" x14ac:dyDescent="0.3">
      <c r="A111" s="1"/>
      <c r="B111" s="232">
        <v>88</v>
      </c>
      <c r="C111" s="233" t="e">
        <f t="shared" si="20"/>
        <v>#NUM!</v>
      </c>
      <c r="D111" s="241" t="e">
        <f t="shared" si="21"/>
        <v>#NUM!</v>
      </c>
      <c r="E111" s="233" t="e">
        <f t="shared" si="22"/>
        <v>#NUM!</v>
      </c>
      <c r="F111" s="233" t="e">
        <f t="shared" si="23"/>
        <v>#NUM!</v>
      </c>
      <c r="G111" s="240"/>
      <c r="H111" s="233" t="e">
        <f t="shared" si="24"/>
        <v>#NUM!</v>
      </c>
      <c r="I111" s="1"/>
      <c r="K111" s="227"/>
      <c r="L111" s="1"/>
      <c r="M111" s="1"/>
      <c r="N111" s="232">
        <v>88</v>
      </c>
      <c r="O111" s="233" t="e">
        <f t="shared" si="25"/>
        <v>#NUM!</v>
      </c>
      <c r="P111" s="241" t="e">
        <f t="shared" si="26"/>
        <v>#NUM!</v>
      </c>
      <c r="Q111" s="233" t="e">
        <f t="shared" si="27"/>
        <v>#NUM!</v>
      </c>
      <c r="R111" s="233" t="e">
        <f t="shared" si="28"/>
        <v>#NUM!</v>
      </c>
      <c r="S111" s="240"/>
      <c r="T111" s="233" t="e">
        <f t="shared" si="29"/>
        <v>#NUM!</v>
      </c>
      <c r="U111" s="226"/>
      <c r="V111" s="226"/>
      <c r="W111" s="226"/>
      <c r="X111" s="230"/>
      <c r="Y111" s="1"/>
    </row>
    <row r="112" spans="1:25" ht="15.75" x14ac:dyDescent="0.3">
      <c r="A112" s="1"/>
      <c r="B112" s="232">
        <v>89</v>
      </c>
      <c r="C112" s="233" t="e">
        <f t="shared" si="20"/>
        <v>#NUM!</v>
      </c>
      <c r="D112" s="241" t="e">
        <f t="shared" si="21"/>
        <v>#NUM!</v>
      </c>
      <c r="E112" s="233" t="e">
        <f t="shared" si="22"/>
        <v>#NUM!</v>
      </c>
      <c r="F112" s="233" t="e">
        <f t="shared" si="23"/>
        <v>#NUM!</v>
      </c>
      <c r="G112" s="240"/>
      <c r="H112" s="233" t="e">
        <f t="shared" si="24"/>
        <v>#NUM!</v>
      </c>
      <c r="I112" s="1"/>
      <c r="K112" s="227"/>
      <c r="L112" s="1"/>
      <c r="M112" s="1"/>
      <c r="N112" s="232">
        <v>89</v>
      </c>
      <c r="O112" s="233" t="e">
        <f t="shared" si="25"/>
        <v>#NUM!</v>
      </c>
      <c r="P112" s="241" t="e">
        <f t="shared" si="26"/>
        <v>#NUM!</v>
      </c>
      <c r="Q112" s="233" t="e">
        <f t="shared" si="27"/>
        <v>#NUM!</v>
      </c>
      <c r="R112" s="233" t="e">
        <f t="shared" si="28"/>
        <v>#NUM!</v>
      </c>
      <c r="S112" s="240"/>
      <c r="T112" s="233" t="e">
        <f t="shared" si="29"/>
        <v>#NUM!</v>
      </c>
      <c r="U112" s="226"/>
      <c r="V112" s="226"/>
      <c r="W112" s="226"/>
      <c r="X112" s="230"/>
      <c r="Y112" s="1"/>
    </row>
    <row r="113" spans="1:25" ht="15.75" x14ac:dyDescent="0.3">
      <c r="A113" s="1"/>
      <c r="B113" s="232">
        <v>90</v>
      </c>
      <c r="C113" s="233" t="e">
        <f t="shared" si="20"/>
        <v>#NUM!</v>
      </c>
      <c r="D113" s="241" t="e">
        <f t="shared" si="21"/>
        <v>#NUM!</v>
      </c>
      <c r="E113" s="233" t="e">
        <f t="shared" si="22"/>
        <v>#NUM!</v>
      </c>
      <c r="F113" s="233" t="e">
        <f t="shared" si="23"/>
        <v>#NUM!</v>
      </c>
      <c r="G113" s="240"/>
      <c r="H113" s="233" t="e">
        <f t="shared" si="24"/>
        <v>#NUM!</v>
      </c>
      <c r="I113" s="1"/>
      <c r="K113" s="227"/>
      <c r="L113" s="1"/>
      <c r="M113" s="1"/>
      <c r="N113" s="232">
        <v>90</v>
      </c>
      <c r="O113" s="233" t="e">
        <f t="shared" si="25"/>
        <v>#NUM!</v>
      </c>
      <c r="P113" s="241" t="e">
        <f t="shared" si="26"/>
        <v>#NUM!</v>
      </c>
      <c r="Q113" s="233" t="e">
        <f t="shared" si="27"/>
        <v>#NUM!</v>
      </c>
      <c r="R113" s="233" t="e">
        <f t="shared" si="28"/>
        <v>#NUM!</v>
      </c>
      <c r="S113" s="240"/>
      <c r="T113" s="233" t="e">
        <f t="shared" si="29"/>
        <v>#NUM!</v>
      </c>
      <c r="U113" s="226"/>
      <c r="V113" s="226"/>
      <c r="W113" s="226"/>
      <c r="X113" s="230"/>
      <c r="Y113" s="1"/>
    </row>
    <row r="114" spans="1:25" ht="15.75" x14ac:dyDescent="0.3">
      <c r="A114" s="1"/>
      <c r="B114" s="232">
        <v>91</v>
      </c>
      <c r="C114" s="233" t="e">
        <f t="shared" si="20"/>
        <v>#NUM!</v>
      </c>
      <c r="D114" s="241" t="e">
        <f t="shared" si="21"/>
        <v>#NUM!</v>
      </c>
      <c r="E114" s="233" t="e">
        <f t="shared" si="22"/>
        <v>#NUM!</v>
      </c>
      <c r="F114" s="233" t="e">
        <f t="shared" si="23"/>
        <v>#NUM!</v>
      </c>
      <c r="G114" s="240"/>
      <c r="H114" s="233" t="e">
        <f t="shared" si="24"/>
        <v>#NUM!</v>
      </c>
      <c r="I114" s="1"/>
      <c r="K114" s="227"/>
      <c r="L114" s="1"/>
      <c r="M114" s="1"/>
      <c r="N114" s="232">
        <v>91</v>
      </c>
      <c r="O114" s="233" t="e">
        <f t="shared" si="25"/>
        <v>#NUM!</v>
      </c>
      <c r="P114" s="241" t="e">
        <f t="shared" si="26"/>
        <v>#NUM!</v>
      </c>
      <c r="Q114" s="233" t="e">
        <f t="shared" si="27"/>
        <v>#NUM!</v>
      </c>
      <c r="R114" s="233" t="e">
        <f t="shared" si="28"/>
        <v>#NUM!</v>
      </c>
      <c r="S114" s="240"/>
      <c r="T114" s="233" t="e">
        <f t="shared" si="29"/>
        <v>#NUM!</v>
      </c>
      <c r="U114" s="226"/>
      <c r="V114" s="226"/>
      <c r="W114" s="226"/>
      <c r="X114" s="230"/>
      <c r="Y114" s="1"/>
    </row>
    <row r="115" spans="1:25" ht="15.75" x14ac:dyDescent="0.3">
      <c r="A115" s="1"/>
      <c r="B115" s="232">
        <v>92</v>
      </c>
      <c r="C115" s="233" t="e">
        <f t="shared" si="20"/>
        <v>#NUM!</v>
      </c>
      <c r="D115" s="241" t="e">
        <f t="shared" si="21"/>
        <v>#NUM!</v>
      </c>
      <c r="E115" s="233" t="e">
        <f t="shared" si="22"/>
        <v>#NUM!</v>
      </c>
      <c r="F115" s="233" t="e">
        <f t="shared" si="23"/>
        <v>#NUM!</v>
      </c>
      <c r="G115" s="240"/>
      <c r="H115" s="233" t="e">
        <f t="shared" si="24"/>
        <v>#NUM!</v>
      </c>
      <c r="I115" s="1"/>
      <c r="K115" s="227"/>
      <c r="L115" s="1"/>
      <c r="M115" s="1"/>
      <c r="N115" s="232">
        <v>92</v>
      </c>
      <c r="O115" s="233" t="e">
        <f t="shared" si="25"/>
        <v>#NUM!</v>
      </c>
      <c r="P115" s="241" t="e">
        <f t="shared" si="26"/>
        <v>#NUM!</v>
      </c>
      <c r="Q115" s="233" t="e">
        <f t="shared" si="27"/>
        <v>#NUM!</v>
      </c>
      <c r="R115" s="233" t="e">
        <f t="shared" si="28"/>
        <v>#NUM!</v>
      </c>
      <c r="S115" s="240"/>
      <c r="T115" s="233" t="e">
        <f t="shared" si="29"/>
        <v>#NUM!</v>
      </c>
      <c r="U115" s="226"/>
      <c r="V115" s="226"/>
      <c r="W115" s="226"/>
      <c r="X115" s="230"/>
      <c r="Y115" s="1"/>
    </row>
    <row r="116" spans="1:25" ht="15.75" x14ac:dyDescent="0.3">
      <c r="A116" s="1"/>
      <c r="B116" s="232">
        <v>93</v>
      </c>
      <c r="C116" s="233" t="e">
        <f t="shared" si="20"/>
        <v>#NUM!</v>
      </c>
      <c r="D116" s="241" t="e">
        <f t="shared" si="21"/>
        <v>#NUM!</v>
      </c>
      <c r="E116" s="233" t="e">
        <f t="shared" si="22"/>
        <v>#NUM!</v>
      </c>
      <c r="F116" s="233" t="e">
        <f t="shared" si="23"/>
        <v>#NUM!</v>
      </c>
      <c r="G116" s="240"/>
      <c r="H116" s="233" t="e">
        <f t="shared" si="24"/>
        <v>#NUM!</v>
      </c>
      <c r="I116" s="1"/>
      <c r="K116" s="227"/>
      <c r="L116" s="1"/>
      <c r="M116" s="1"/>
      <c r="N116" s="232">
        <v>93</v>
      </c>
      <c r="O116" s="233" t="e">
        <f t="shared" si="25"/>
        <v>#NUM!</v>
      </c>
      <c r="P116" s="241" t="e">
        <f t="shared" si="26"/>
        <v>#NUM!</v>
      </c>
      <c r="Q116" s="233" t="e">
        <f t="shared" si="27"/>
        <v>#NUM!</v>
      </c>
      <c r="R116" s="233" t="e">
        <f t="shared" si="28"/>
        <v>#NUM!</v>
      </c>
      <c r="S116" s="240"/>
      <c r="T116" s="233" t="e">
        <f t="shared" si="29"/>
        <v>#NUM!</v>
      </c>
      <c r="U116" s="226"/>
      <c r="V116" s="226"/>
      <c r="W116" s="226"/>
      <c r="X116" s="230"/>
      <c r="Y116" s="1"/>
    </row>
    <row r="117" spans="1:25" ht="15.75" x14ac:dyDescent="0.3">
      <c r="A117" s="1"/>
      <c r="B117" s="232">
        <v>94</v>
      </c>
      <c r="C117" s="233" t="e">
        <f t="shared" si="20"/>
        <v>#NUM!</v>
      </c>
      <c r="D117" s="241" t="e">
        <f t="shared" si="21"/>
        <v>#NUM!</v>
      </c>
      <c r="E117" s="233" t="e">
        <f t="shared" si="22"/>
        <v>#NUM!</v>
      </c>
      <c r="F117" s="233" t="e">
        <f t="shared" si="23"/>
        <v>#NUM!</v>
      </c>
      <c r="G117" s="240"/>
      <c r="H117" s="233" t="e">
        <f t="shared" si="24"/>
        <v>#NUM!</v>
      </c>
      <c r="I117" s="1"/>
      <c r="K117" s="227"/>
      <c r="L117" s="1"/>
      <c r="M117" s="1"/>
      <c r="N117" s="232">
        <v>94</v>
      </c>
      <c r="O117" s="233" t="e">
        <f t="shared" si="25"/>
        <v>#NUM!</v>
      </c>
      <c r="P117" s="241" t="e">
        <f t="shared" si="26"/>
        <v>#NUM!</v>
      </c>
      <c r="Q117" s="233" t="e">
        <f t="shared" si="27"/>
        <v>#NUM!</v>
      </c>
      <c r="R117" s="233" t="e">
        <f t="shared" si="28"/>
        <v>#NUM!</v>
      </c>
      <c r="S117" s="240"/>
      <c r="T117" s="233" t="e">
        <f t="shared" si="29"/>
        <v>#NUM!</v>
      </c>
      <c r="U117" s="226"/>
      <c r="V117" s="226"/>
      <c r="W117" s="226"/>
      <c r="X117" s="230"/>
      <c r="Y117" s="1"/>
    </row>
    <row r="118" spans="1:25" ht="15.75" x14ac:dyDescent="0.3">
      <c r="A118" s="1"/>
      <c r="B118" s="232">
        <v>95</v>
      </c>
      <c r="C118" s="233" t="e">
        <f t="shared" si="20"/>
        <v>#NUM!</v>
      </c>
      <c r="D118" s="241" t="e">
        <f t="shared" si="21"/>
        <v>#NUM!</v>
      </c>
      <c r="E118" s="233" t="e">
        <f t="shared" si="22"/>
        <v>#NUM!</v>
      </c>
      <c r="F118" s="233" t="e">
        <f t="shared" si="23"/>
        <v>#NUM!</v>
      </c>
      <c r="G118" s="240"/>
      <c r="H118" s="233" t="e">
        <f t="shared" si="24"/>
        <v>#NUM!</v>
      </c>
      <c r="I118" s="1"/>
      <c r="K118" s="227"/>
      <c r="L118" s="1"/>
      <c r="M118" s="1"/>
      <c r="N118" s="232">
        <v>95</v>
      </c>
      <c r="O118" s="233" t="e">
        <f t="shared" si="25"/>
        <v>#NUM!</v>
      </c>
      <c r="P118" s="241" t="e">
        <f t="shared" si="26"/>
        <v>#NUM!</v>
      </c>
      <c r="Q118" s="233" t="e">
        <f t="shared" si="27"/>
        <v>#NUM!</v>
      </c>
      <c r="R118" s="233" t="e">
        <f t="shared" si="28"/>
        <v>#NUM!</v>
      </c>
      <c r="S118" s="240"/>
      <c r="T118" s="233" t="e">
        <f t="shared" si="29"/>
        <v>#NUM!</v>
      </c>
      <c r="U118" s="226"/>
      <c r="V118" s="226"/>
      <c r="W118" s="226"/>
      <c r="X118" s="230"/>
      <c r="Y118" s="1"/>
    </row>
    <row r="119" spans="1:25" ht="15.75" x14ac:dyDescent="0.3">
      <c r="A119" s="1"/>
      <c r="B119" s="232">
        <v>96</v>
      </c>
      <c r="C119" s="233" t="e">
        <f t="shared" si="20"/>
        <v>#NUM!</v>
      </c>
      <c r="D119" s="241" t="e">
        <f t="shared" si="21"/>
        <v>#NUM!</v>
      </c>
      <c r="E119" s="233" t="e">
        <f t="shared" si="22"/>
        <v>#NUM!</v>
      </c>
      <c r="F119" s="233" t="e">
        <f t="shared" si="23"/>
        <v>#NUM!</v>
      </c>
      <c r="G119" s="240"/>
      <c r="H119" s="233" t="e">
        <f t="shared" si="24"/>
        <v>#NUM!</v>
      </c>
      <c r="I119" s="1"/>
      <c r="K119" s="227"/>
      <c r="L119" s="1"/>
      <c r="M119" s="1"/>
      <c r="N119" s="232">
        <v>96</v>
      </c>
      <c r="O119" s="233" t="e">
        <f t="shared" si="25"/>
        <v>#NUM!</v>
      </c>
      <c r="P119" s="241" t="e">
        <f t="shared" si="26"/>
        <v>#NUM!</v>
      </c>
      <c r="Q119" s="233" t="e">
        <f t="shared" si="27"/>
        <v>#NUM!</v>
      </c>
      <c r="R119" s="233" t="e">
        <f t="shared" si="28"/>
        <v>#NUM!</v>
      </c>
      <c r="S119" s="240"/>
      <c r="T119" s="233" t="e">
        <f t="shared" si="29"/>
        <v>#NUM!</v>
      </c>
      <c r="U119" s="226"/>
      <c r="V119" s="226"/>
      <c r="W119" s="226"/>
      <c r="X119" s="230"/>
      <c r="Y119" s="1"/>
    </row>
    <row r="120" spans="1:25" ht="15.75" x14ac:dyDescent="0.3">
      <c r="A120" s="1"/>
      <c r="B120" s="232">
        <v>97</v>
      </c>
      <c r="C120" s="233" t="e">
        <f t="shared" si="20"/>
        <v>#NUM!</v>
      </c>
      <c r="D120" s="241" t="e">
        <f t="shared" si="21"/>
        <v>#NUM!</v>
      </c>
      <c r="E120" s="233" t="e">
        <f t="shared" si="22"/>
        <v>#NUM!</v>
      </c>
      <c r="F120" s="233" t="e">
        <f t="shared" si="23"/>
        <v>#NUM!</v>
      </c>
      <c r="G120" s="240"/>
      <c r="H120" s="233" t="e">
        <f t="shared" si="24"/>
        <v>#NUM!</v>
      </c>
      <c r="I120" s="1"/>
      <c r="K120" s="227"/>
      <c r="L120" s="1"/>
      <c r="M120" s="1"/>
      <c r="N120" s="232">
        <v>97</v>
      </c>
      <c r="O120" s="233" t="e">
        <f t="shared" si="25"/>
        <v>#NUM!</v>
      </c>
      <c r="P120" s="241" t="e">
        <f t="shared" si="26"/>
        <v>#NUM!</v>
      </c>
      <c r="Q120" s="233" t="e">
        <f t="shared" si="27"/>
        <v>#NUM!</v>
      </c>
      <c r="R120" s="233" t="e">
        <f t="shared" si="28"/>
        <v>#NUM!</v>
      </c>
      <c r="S120" s="240"/>
      <c r="T120" s="233" t="e">
        <f t="shared" si="29"/>
        <v>#NUM!</v>
      </c>
      <c r="U120" s="226"/>
      <c r="V120" s="226"/>
      <c r="W120" s="226"/>
      <c r="X120" s="230"/>
      <c r="Y120" s="1"/>
    </row>
    <row r="121" spans="1:25" ht="15.75" x14ac:dyDescent="0.3">
      <c r="A121" s="1"/>
      <c r="B121" s="232">
        <v>98</v>
      </c>
      <c r="C121" s="233" t="e">
        <f t="shared" si="20"/>
        <v>#NUM!</v>
      </c>
      <c r="D121" s="241" t="e">
        <f t="shared" si="21"/>
        <v>#NUM!</v>
      </c>
      <c r="E121" s="233" t="e">
        <f t="shared" si="22"/>
        <v>#NUM!</v>
      </c>
      <c r="F121" s="233" t="e">
        <f t="shared" si="23"/>
        <v>#NUM!</v>
      </c>
      <c r="G121" s="240"/>
      <c r="H121" s="233" t="e">
        <f t="shared" si="24"/>
        <v>#NUM!</v>
      </c>
      <c r="I121" s="1"/>
      <c r="K121" s="227"/>
      <c r="L121" s="1"/>
      <c r="M121" s="1"/>
      <c r="N121" s="232">
        <v>98</v>
      </c>
      <c r="O121" s="233" t="e">
        <f t="shared" si="25"/>
        <v>#NUM!</v>
      </c>
      <c r="P121" s="241" t="e">
        <f t="shared" si="26"/>
        <v>#NUM!</v>
      </c>
      <c r="Q121" s="233" t="e">
        <f t="shared" si="27"/>
        <v>#NUM!</v>
      </c>
      <c r="R121" s="233" t="e">
        <f t="shared" si="28"/>
        <v>#NUM!</v>
      </c>
      <c r="S121" s="240"/>
      <c r="T121" s="233" t="e">
        <f t="shared" si="29"/>
        <v>#NUM!</v>
      </c>
      <c r="U121" s="226"/>
      <c r="V121" s="226"/>
      <c r="W121" s="226"/>
      <c r="X121" s="230"/>
      <c r="Y121" s="1"/>
    </row>
    <row r="122" spans="1:25" ht="15.75" x14ac:dyDescent="0.3">
      <c r="A122" s="1"/>
      <c r="B122" s="232">
        <v>99</v>
      </c>
      <c r="C122" s="233" t="e">
        <f t="shared" si="20"/>
        <v>#NUM!</v>
      </c>
      <c r="D122" s="241" t="e">
        <f t="shared" si="21"/>
        <v>#NUM!</v>
      </c>
      <c r="E122" s="233" t="e">
        <f t="shared" si="22"/>
        <v>#NUM!</v>
      </c>
      <c r="F122" s="233" t="e">
        <f t="shared" si="23"/>
        <v>#NUM!</v>
      </c>
      <c r="G122" s="240"/>
      <c r="H122" s="233" t="e">
        <f t="shared" si="24"/>
        <v>#NUM!</v>
      </c>
      <c r="I122" s="1"/>
      <c r="K122" s="227"/>
      <c r="L122" s="1"/>
      <c r="M122" s="1"/>
      <c r="N122" s="232">
        <v>99</v>
      </c>
      <c r="O122" s="233" t="e">
        <f t="shared" si="25"/>
        <v>#NUM!</v>
      </c>
      <c r="P122" s="241" t="e">
        <f t="shared" si="26"/>
        <v>#NUM!</v>
      </c>
      <c r="Q122" s="233" t="e">
        <f t="shared" si="27"/>
        <v>#NUM!</v>
      </c>
      <c r="R122" s="233" t="e">
        <f t="shared" si="28"/>
        <v>#NUM!</v>
      </c>
      <c r="S122" s="240"/>
      <c r="T122" s="233" t="e">
        <f t="shared" si="29"/>
        <v>#NUM!</v>
      </c>
      <c r="U122" s="226"/>
      <c r="V122" s="226"/>
      <c r="W122" s="226"/>
      <c r="X122" s="230"/>
      <c r="Y122" s="1"/>
    </row>
    <row r="123" spans="1:25" ht="15.75" x14ac:dyDescent="0.3">
      <c r="A123" s="1"/>
      <c r="B123" s="232">
        <v>100</v>
      </c>
      <c r="C123" s="233" t="e">
        <f t="shared" si="20"/>
        <v>#NUM!</v>
      </c>
      <c r="D123" s="241" t="e">
        <f t="shared" si="21"/>
        <v>#NUM!</v>
      </c>
      <c r="E123" s="233" t="e">
        <f t="shared" si="22"/>
        <v>#NUM!</v>
      </c>
      <c r="F123" s="233" t="e">
        <f t="shared" si="23"/>
        <v>#NUM!</v>
      </c>
      <c r="G123" s="240"/>
      <c r="H123" s="233" t="e">
        <f t="shared" si="24"/>
        <v>#NUM!</v>
      </c>
      <c r="I123" s="1"/>
      <c r="K123" s="227"/>
      <c r="L123" s="1"/>
      <c r="M123" s="1"/>
      <c r="N123" s="232">
        <v>100</v>
      </c>
      <c r="O123" s="233" t="e">
        <f t="shared" si="25"/>
        <v>#NUM!</v>
      </c>
      <c r="P123" s="241" t="e">
        <f t="shared" si="26"/>
        <v>#NUM!</v>
      </c>
      <c r="Q123" s="233" t="e">
        <f t="shared" si="27"/>
        <v>#NUM!</v>
      </c>
      <c r="R123" s="233" t="e">
        <f t="shared" si="28"/>
        <v>#NUM!</v>
      </c>
      <c r="S123" s="240"/>
      <c r="T123" s="233" t="e">
        <f t="shared" si="29"/>
        <v>#NUM!</v>
      </c>
      <c r="U123" s="226"/>
      <c r="V123" s="226"/>
      <c r="W123" s="226"/>
      <c r="X123" s="230"/>
      <c r="Y123" s="1"/>
    </row>
    <row r="124" spans="1:25" ht="15.75" x14ac:dyDescent="0.3">
      <c r="A124" s="1"/>
      <c r="B124" s="232">
        <v>101</v>
      </c>
      <c r="C124" s="233" t="e">
        <f t="shared" si="20"/>
        <v>#NUM!</v>
      </c>
      <c r="D124" s="241" t="e">
        <f t="shared" si="21"/>
        <v>#NUM!</v>
      </c>
      <c r="E124" s="233" t="e">
        <f t="shared" si="22"/>
        <v>#NUM!</v>
      </c>
      <c r="F124" s="233" t="e">
        <f t="shared" si="23"/>
        <v>#NUM!</v>
      </c>
      <c r="G124" s="240"/>
      <c r="H124" s="233" t="e">
        <f t="shared" si="24"/>
        <v>#NUM!</v>
      </c>
      <c r="I124" s="1"/>
      <c r="K124" s="227"/>
      <c r="L124" s="1"/>
      <c r="M124" s="1"/>
      <c r="N124" s="232">
        <v>101</v>
      </c>
      <c r="O124" s="233" t="e">
        <f t="shared" si="25"/>
        <v>#NUM!</v>
      </c>
      <c r="P124" s="241" t="e">
        <f t="shared" si="26"/>
        <v>#NUM!</v>
      </c>
      <c r="Q124" s="233" t="e">
        <f t="shared" si="27"/>
        <v>#NUM!</v>
      </c>
      <c r="R124" s="233" t="e">
        <f t="shared" si="28"/>
        <v>#NUM!</v>
      </c>
      <c r="S124" s="240"/>
      <c r="T124" s="233" t="e">
        <f t="shared" si="29"/>
        <v>#NUM!</v>
      </c>
      <c r="U124" s="226"/>
      <c r="V124" s="226"/>
      <c r="W124" s="226"/>
      <c r="X124" s="230"/>
      <c r="Y124" s="1"/>
    </row>
    <row r="125" spans="1:25" ht="15.75" x14ac:dyDescent="0.3">
      <c r="A125" s="1"/>
      <c r="B125" s="232">
        <v>102</v>
      </c>
      <c r="C125" s="233" t="e">
        <f t="shared" si="20"/>
        <v>#NUM!</v>
      </c>
      <c r="D125" s="241" t="e">
        <f t="shared" si="21"/>
        <v>#NUM!</v>
      </c>
      <c r="E125" s="233" t="e">
        <f t="shared" si="22"/>
        <v>#NUM!</v>
      </c>
      <c r="F125" s="233" t="e">
        <f t="shared" si="23"/>
        <v>#NUM!</v>
      </c>
      <c r="G125" s="240"/>
      <c r="H125" s="233" t="e">
        <f t="shared" si="24"/>
        <v>#NUM!</v>
      </c>
      <c r="I125" s="1"/>
      <c r="K125" s="227"/>
      <c r="L125" s="1"/>
      <c r="M125" s="1"/>
      <c r="N125" s="232">
        <v>102</v>
      </c>
      <c r="O125" s="233" t="e">
        <f t="shared" si="25"/>
        <v>#NUM!</v>
      </c>
      <c r="P125" s="241" t="e">
        <f t="shared" si="26"/>
        <v>#NUM!</v>
      </c>
      <c r="Q125" s="233" t="e">
        <f t="shared" si="27"/>
        <v>#NUM!</v>
      </c>
      <c r="R125" s="233" t="e">
        <f t="shared" si="28"/>
        <v>#NUM!</v>
      </c>
      <c r="S125" s="240"/>
      <c r="T125" s="233" t="e">
        <f t="shared" si="29"/>
        <v>#NUM!</v>
      </c>
      <c r="U125" s="226"/>
      <c r="V125" s="226"/>
      <c r="W125" s="226"/>
      <c r="X125" s="230"/>
      <c r="Y125" s="1"/>
    </row>
    <row r="126" spans="1:25" ht="15.75" x14ac:dyDescent="0.3">
      <c r="A126" s="1"/>
      <c r="B126" s="232">
        <v>103</v>
      </c>
      <c r="C126" s="233" t="e">
        <f t="shared" si="20"/>
        <v>#NUM!</v>
      </c>
      <c r="D126" s="241" t="e">
        <f t="shared" si="21"/>
        <v>#NUM!</v>
      </c>
      <c r="E126" s="233" t="e">
        <f t="shared" si="22"/>
        <v>#NUM!</v>
      </c>
      <c r="F126" s="233" t="e">
        <f t="shared" si="23"/>
        <v>#NUM!</v>
      </c>
      <c r="G126" s="240"/>
      <c r="H126" s="233" t="e">
        <f t="shared" si="24"/>
        <v>#NUM!</v>
      </c>
      <c r="I126" s="1"/>
      <c r="K126" s="227"/>
      <c r="L126" s="1"/>
      <c r="M126" s="1"/>
      <c r="N126" s="232">
        <v>103</v>
      </c>
      <c r="O126" s="233" t="e">
        <f t="shared" si="25"/>
        <v>#NUM!</v>
      </c>
      <c r="P126" s="241" t="e">
        <f t="shared" si="26"/>
        <v>#NUM!</v>
      </c>
      <c r="Q126" s="233" t="e">
        <f t="shared" si="27"/>
        <v>#NUM!</v>
      </c>
      <c r="R126" s="233" t="e">
        <f t="shared" si="28"/>
        <v>#NUM!</v>
      </c>
      <c r="S126" s="240"/>
      <c r="T126" s="233" t="e">
        <f t="shared" si="29"/>
        <v>#NUM!</v>
      </c>
      <c r="U126" s="226"/>
      <c r="V126" s="226"/>
      <c r="W126" s="226"/>
      <c r="X126" s="230"/>
      <c r="Y126" s="1"/>
    </row>
    <row r="127" spans="1:25" ht="15.75" x14ac:dyDescent="0.3">
      <c r="A127" s="1"/>
      <c r="B127" s="232">
        <v>104</v>
      </c>
      <c r="C127" s="233" t="e">
        <f t="shared" si="20"/>
        <v>#NUM!</v>
      </c>
      <c r="D127" s="241" t="e">
        <f t="shared" si="21"/>
        <v>#NUM!</v>
      </c>
      <c r="E127" s="233" t="e">
        <f t="shared" si="22"/>
        <v>#NUM!</v>
      </c>
      <c r="F127" s="233" t="e">
        <f t="shared" si="23"/>
        <v>#NUM!</v>
      </c>
      <c r="G127" s="240"/>
      <c r="H127" s="233" t="e">
        <f t="shared" si="24"/>
        <v>#NUM!</v>
      </c>
      <c r="I127" s="1"/>
      <c r="K127" s="227"/>
      <c r="L127" s="1"/>
      <c r="M127" s="1"/>
      <c r="N127" s="232">
        <v>104</v>
      </c>
      <c r="O127" s="233" t="e">
        <f t="shared" si="25"/>
        <v>#NUM!</v>
      </c>
      <c r="P127" s="241" t="e">
        <f t="shared" si="26"/>
        <v>#NUM!</v>
      </c>
      <c r="Q127" s="233" t="e">
        <f t="shared" si="27"/>
        <v>#NUM!</v>
      </c>
      <c r="R127" s="233" t="e">
        <f t="shared" si="28"/>
        <v>#NUM!</v>
      </c>
      <c r="S127" s="240"/>
      <c r="T127" s="233" t="e">
        <f t="shared" si="29"/>
        <v>#NUM!</v>
      </c>
      <c r="U127" s="226"/>
      <c r="V127" s="226"/>
      <c r="W127" s="226"/>
      <c r="X127" s="230"/>
      <c r="Y127" s="1"/>
    </row>
    <row r="128" spans="1:25" ht="15.75" x14ac:dyDescent="0.3">
      <c r="A128" s="1"/>
      <c r="B128" s="232">
        <v>105</v>
      </c>
      <c r="C128" s="233" t="e">
        <f t="shared" si="20"/>
        <v>#NUM!</v>
      </c>
      <c r="D128" s="241" t="e">
        <f t="shared" si="21"/>
        <v>#NUM!</v>
      </c>
      <c r="E128" s="233" t="e">
        <f t="shared" si="22"/>
        <v>#NUM!</v>
      </c>
      <c r="F128" s="233" t="e">
        <f t="shared" si="23"/>
        <v>#NUM!</v>
      </c>
      <c r="G128" s="240"/>
      <c r="H128" s="233" t="e">
        <f t="shared" si="24"/>
        <v>#NUM!</v>
      </c>
      <c r="I128" s="1"/>
      <c r="K128" s="227"/>
      <c r="L128" s="1"/>
      <c r="M128" s="1"/>
      <c r="N128" s="232">
        <v>105</v>
      </c>
      <c r="O128" s="233" t="e">
        <f t="shared" si="25"/>
        <v>#NUM!</v>
      </c>
      <c r="P128" s="241" t="e">
        <f t="shared" si="26"/>
        <v>#NUM!</v>
      </c>
      <c r="Q128" s="233" t="e">
        <f t="shared" si="27"/>
        <v>#NUM!</v>
      </c>
      <c r="R128" s="233" t="e">
        <f t="shared" si="28"/>
        <v>#NUM!</v>
      </c>
      <c r="S128" s="240"/>
      <c r="T128" s="233" t="e">
        <f t="shared" si="29"/>
        <v>#NUM!</v>
      </c>
      <c r="U128" s="226"/>
      <c r="V128" s="226"/>
      <c r="W128" s="226"/>
      <c r="X128" s="230"/>
      <c r="Y128" s="1"/>
    </row>
    <row r="129" spans="1:25" ht="15.75" x14ac:dyDescent="0.3">
      <c r="A129" s="1"/>
      <c r="B129" s="232">
        <v>106</v>
      </c>
      <c r="C129" s="233" t="e">
        <f t="shared" si="20"/>
        <v>#NUM!</v>
      </c>
      <c r="D129" s="241" t="e">
        <f t="shared" si="21"/>
        <v>#NUM!</v>
      </c>
      <c r="E129" s="233" t="e">
        <f t="shared" si="22"/>
        <v>#NUM!</v>
      </c>
      <c r="F129" s="233" t="e">
        <f t="shared" si="23"/>
        <v>#NUM!</v>
      </c>
      <c r="G129" s="240"/>
      <c r="H129" s="233" t="e">
        <f t="shared" si="24"/>
        <v>#NUM!</v>
      </c>
      <c r="I129" s="1"/>
      <c r="K129" s="227"/>
      <c r="L129" s="1"/>
      <c r="M129" s="1"/>
      <c r="N129" s="232">
        <v>106</v>
      </c>
      <c r="O129" s="233" t="e">
        <f t="shared" si="25"/>
        <v>#NUM!</v>
      </c>
      <c r="P129" s="241" t="e">
        <f t="shared" si="26"/>
        <v>#NUM!</v>
      </c>
      <c r="Q129" s="233" t="e">
        <f t="shared" si="27"/>
        <v>#NUM!</v>
      </c>
      <c r="R129" s="233" t="e">
        <f t="shared" si="28"/>
        <v>#NUM!</v>
      </c>
      <c r="S129" s="240"/>
      <c r="T129" s="233" t="e">
        <f t="shared" si="29"/>
        <v>#NUM!</v>
      </c>
      <c r="U129" s="226"/>
      <c r="V129" s="226"/>
      <c r="W129" s="226"/>
      <c r="X129" s="230"/>
      <c r="Y129" s="1"/>
    </row>
    <row r="130" spans="1:25" ht="15.75" x14ac:dyDescent="0.3">
      <c r="A130" s="1"/>
      <c r="B130" s="232">
        <v>107</v>
      </c>
      <c r="C130" s="233" t="e">
        <f t="shared" si="20"/>
        <v>#NUM!</v>
      </c>
      <c r="D130" s="241" t="e">
        <f t="shared" si="21"/>
        <v>#NUM!</v>
      </c>
      <c r="E130" s="233" t="e">
        <f t="shared" si="22"/>
        <v>#NUM!</v>
      </c>
      <c r="F130" s="233" t="e">
        <f t="shared" si="23"/>
        <v>#NUM!</v>
      </c>
      <c r="G130" s="240"/>
      <c r="H130" s="233" t="e">
        <f t="shared" si="24"/>
        <v>#NUM!</v>
      </c>
      <c r="I130" s="1"/>
      <c r="K130" s="227"/>
      <c r="L130" s="1"/>
      <c r="M130" s="1"/>
      <c r="N130" s="232">
        <v>107</v>
      </c>
      <c r="O130" s="233" t="e">
        <f t="shared" si="25"/>
        <v>#NUM!</v>
      </c>
      <c r="P130" s="241" t="e">
        <f t="shared" si="26"/>
        <v>#NUM!</v>
      </c>
      <c r="Q130" s="233" t="e">
        <f t="shared" si="27"/>
        <v>#NUM!</v>
      </c>
      <c r="R130" s="233" t="e">
        <f t="shared" si="28"/>
        <v>#NUM!</v>
      </c>
      <c r="S130" s="240"/>
      <c r="T130" s="233" t="e">
        <f t="shared" si="29"/>
        <v>#NUM!</v>
      </c>
      <c r="U130" s="226"/>
      <c r="V130" s="226"/>
      <c r="W130" s="226"/>
      <c r="X130" s="230"/>
      <c r="Y130" s="1"/>
    </row>
    <row r="131" spans="1:25" ht="15.75" x14ac:dyDescent="0.3">
      <c r="A131" s="1"/>
      <c r="B131" s="232">
        <v>108</v>
      </c>
      <c r="C131" s="233" t="e">
        <f t="shared" si="20"/>
        <v>#NUM!</v>
      </c>
      <c r="D131" s="241" t="e">
        <f t="shared" si="21"/>
        <v>#NUM!</v>
      </c>
      <c r="E131" s="233" t="e">
        <f t="shared" si="22"/>
        <v>#NUM!</v>
      </c>
      <c r="F131" s="233" t="e">
        <f t="shared" si="23"/>
        <v>#NUM!</v>
      </c>
      <c r="G131" s="240"/>
      <c r="H131" s="233" t="e">
        <f t="shared" si="24"/>
        <v>#NUM!</v>
      </c>
      <c r="I131" s="1"/>
      <c r="K131" s="227"/>
      <c r="L131" s="1"/>
      <c r="M131" s="1"/>
      <c r="N131" s="232">
        <v>108</v>
      </c>
      <c r="O131" s="233" t="e">
        <f t="shared" si="25"/>
        <v>#NUM!</v>
      </c>
      <c r="P131" s="241" t="e">
        <f t="shared" si="26"/>
        <v>#NUM!</v>
      </c>
      <c r="Q131" s="233" t="e">
        <f t="shared" si="27"/>
        <v>#NUM!</v>
      </c>
      <c r="R131" s="233" t="e">
        <f t="shared" si="28"/>
        <v>#NUM!</v>
      </c>
      <c r="S131" s="240"/>
      <c r="T131" s="233" t="e">
        <f t="shared" si="29"/>
        <v>#NUM!</v>
      </c>
      <c r="U131" s="226"/>
      <c r="V131" s="226"/>
      <c r="W131" s="226"/>
      <c r="X131" s="230"/>
      <c r="Y131" s="1"/>
    </row>
    <row r="132" spans="1:25" ht="15.75" x14ac:dyDescent="0.3">
      <c r="A132" s="1"/>
      <c r="B132" s="232">
        <v>109</v>
      </c>
      <c r="C132" s="233" t="e">
        <f t="shared" si="20"/>
        <v>#NUM!</v>
      </c>
      <c r="D132" s="241" t="e">
        <f t="shared" si="21"/>
        <v>#NUM!</v>
      </c>
      <c r="E132" s="233" t="e">
        <f t="shared" si="22"/>
        <v>#NUM!</v>
      </c>
      <c r="F132" s="233" t="e">
        <f t="shared" si="23"/>
        <v>#NUM!</v>
      </c>
      <c r="G132" s="240"/>
      <c r="H132" s="233" t="e">
        <f t="shared" si="24"/>
        <v>#NUM!</v>
      </c>
      <c r="I132" s="1"/>
      <c r="K132" s="227"/>
      <c r="L132" s="1"/>
      <c r="M132" s="1"/>
      <c r="N132" s="232">
        <v>109</v>
      </c>
      <c r="O132" s="233" t="e">
        <f t="shared" si="25"/>
        <v>#NUM!</v>
      </c>
      <c r="P132" s="241" t="e">
        <f t="shared" si="26"/>
        <v>#NUM!</v>
      </c>
      <c r="Q132" s="233" t="e">
        <f t="shared" si="27"/>
        <v>#NUM!</v>
      </c>
      <c r="R132" s="233" t="e">
        <f t="shared" si="28"/>
        <v>#NUM!</v>
      </c>
      <c r="S132" s="240"/>
      <c r="T132" s="233" t="e">
        <f t="shared" si="29"/>
        <v>#NUM!</v>
      </c>
      <c r="U132" s="226"/>
      <c r="V132" s="226"/>
      <c r="W132" s="226"/>
      <c r="X132" s="230"/>
      <c r="Y132" s="1"/>
    </row>
    <row r="133" spans="1:25" ht="15.75" x14ac:dyDescent="0.3">
      <c r="A133" s="1"/>
      <c r="B133" s="232">
        <v>110</v>
      </c>
      <c r="C133" s="233" t="e">
        <f t="shared" si="20"/>
        <v>#NUM!</v>
      </c>
      <c r="D133" s="241" t="e">
        <f t="shared" si="21"/>
        <v>#NUM!</v>
      </c>
      <c r="E133" s="233" t="e">
        <f t="shared" si="22"/>
        <v>#NUM!</v>
      </c>
      <c r="F133" s="233" t="e">
        <f t="shared" si="23"/>
        <v>#NUM!</v>
      </c>
      <c r="G133" s="240"/>
      <c r="H133" s="233" t="e">
        <f t="shared" si="24"/>
        <v>#NUM!</v>
      </c>
      <c r="I133" s="1"/>
      <c r="K133" s="227"/>
      <c r="L133" s="1"/>
      <c r="M133" s="1"/>
      <c r="N133" s="232">
        <v>110</v>
      </c>
      <c r="O133" s="233" t="e">
        <f t="shared" si="25"/>
        <v>#NUM!</v>
      </c>
      <c r="P133" s="241" t="e">
        <f t="shared" si="26"/>
        <v>#NUM!</v>
      </c>
      <c r="Q133" s="233" t="e">
        <f t="shared" si="27"/>
        <v>#NUM!</v>
      </c>
      <c r="R133" s="233" t="e">
        <f t="shared" si="28"/>
        <v>#NUM!</v>
      </c>
      <c r="S133" s="240"/>
      <c r="T133" s="233" t="e">
        <f t="shared" si="29"/>
        <v>#NUM!</v>
      </c>
      <c r="U133" s="226"/>
      <c r="V133" s="226"/>
      <c r="W133" s="226"/>
      <c r="X133" s="230"/>
      <c r="Y133" s="1"/>
    </row>
    <row r="134" spans="1:25" ht="15.75" x14ac:dyDescent="0.3">
      <c r="A134" s="1"/>
      <c r="B134" s="232">
        <v>111</v>
      </c>
      <c r="C134" s="233" t="e">
        <f t="shared" si="20"/>
        <v>#NUM!</v>
      </c>
      <c r="D134" s="241" t="e">
        <f t="shared" si="21"/>
        <v>#NUM!</v>
      </c>
      <c r="E134" s="233" t="e">
        <f t="shared" si="22"/>
        <v>#NUM!</v>
      </c>
      <c r="F134" s="233" t="e">
        <f t="shared" si="23"/>
        <v>#NUM!</v>
      </c>
      <c r="G134" s="240"/>
      <c r="H134" s="233" t="e">
        <f t="shared" si="24"/>
        <v>#NUM!</v>
      </c>
      <c r="I134" s="1"/>
      <c r="K134" s="227"/>
      <c r="L134" s="1"/>
      <c r="M134" s="1"/>
      <c r="N134" s="232">
        <v>111</v>
      </c>
      <c r="O134" s="233" t="e">
        <f t="shared" si="25"/>
        <v>#NUM!</v>
      </c>
      <c r="P134" s="241" t="e">
        <f t="shared" si="26"/>
        <v>#NUM!</v>
      </c>
      <c r="Q134" s="233" t="e">
        <f t="shared" si="27"/>
        <v>#NUM!</v>
      </c>
      <c r="R134" s="233" t="e">
        <f t="shared" si="28"/>
        <v>#NUM!</v>
      </c>
      <c r="S134" s="240"/>
      <c r="T134" s="233" t="e">
        <f t="shared" si="29"/>
        <v>#NUM!</v>
      </c>
      <c r="U134" s="226"/>
      <c r="V134" s="226"/>
      <c r="W134" s="226"/>
      <c r="X134" s="230"/>
      <c r="Y134" s="1"/>
    </row>
    <row r="135" spans="1:25" ht="15.75" x14ac:dyDescent="0.3">
      <c r="A135" s="1"/>
      <c r="B135" s="232">
        <v>112</v>
      </c>
      <c r="C135" s="233" t="e">
        <f t="shared" si="20"/>
        <v>#NUM!</v>
      </c>
      <c r="D135" s="241" t="e">
        <f t="shared" si="21"/>
        <v>#NUM!</v>
      </c>
      <c r="E135" s="233" t="e">
        <f t="shared" si="22"/>
        <v>#NUM!</v>
      </c>
      <c r="F135" s="233" t="e">
        <f t="shared" si="23"/>
        <v>#NUM!</v>
      </c>
      <c r="G135" s="240"/>
      <c r="H135" s="233" t="e">
        <f t="shared" si="24"/>
        <v>#NUM!</v>
      </c>
      <c r="I135" s="1"/>
      <c r="K135" s="227"/>
      <c r="L135" s="1"/>
      <c r="M135" s="1"/>
      <c r="N135" s="232">
        <v>112</v>
      </c>
      <c r="O135" s="233" t="e">
        <f t="shared" si="25"/>
        <v>#NUM!</v>
      </c>
      <c r="P135" s="241" t="e">
        <f t="shared" si="26"/>
        <v>#NUM!</v>
      </c>
      <c r="Q135" s="233" t="e">
        <f t="shared" si="27"/>
        <v>#NUM!</v>
      </c>
      <c r="R135" s="233" t="e">
        <f t="shared" si="28"/>
        <v>#NUM!</v>
      </c>
      <c r="S135" s="240"/>
      <c r="T135" s="233" t="e">
        <f t="shared" si="29"/>
        <v>#NUM!</v>
      </c>
      <c r="U135" s="226"/>
      <c r="V135" s="226"/>
      <c r="W135" s="226"/>
      <c r="X135" s="230"/>
      <c r="Y135" s="1"/>
    </row>
    <row r="136" spans="1:25" ht="15.75" x14ac:dyDescent="0.3">
      <c r="A136" s="1"/>
      <c r="B136" s="232">
        <v>113</v>
      </c>
      <c r="C136" s="233" t="e">
        <f t="shared" si="20"/>
        <v>#NUM!</v>
      </c>
      <c r="D136" s="241" t="e">
        <f t="shared" si="21"/>
        <v>#NUM!</v>
      </c>
      <c r="E136" s="233" t="e">
        <f t="shared" si="22"/>
        <v>#NUM!</v>
      </c>
      <c r="F136" s="233" t="e">
        <f t="shared" si="23"/>
        <v>#NUM!</v>
      </c>
      <c r="G136" s="240"/>
      <c r="H136" s="233" t="e">
        <f t="shared" si="24"/>
        <v>#NUM!</v>
      </c>
      <c r="I136" s="1"/>
      <c r="K136" s="227"/>
      <c r="L136" s="1"/>
      <c r="M136" s="1"/>
      <c r="N136" s="232">
        <v>113</v>
      </c>
      <c r="O136" s="233" t="e">
        <f t="shared" si="25"/>
        <v>#NUM!</v>
      </c>
      <c r="P136" s="241" t="e">
        <f t="shared" si="26"/>
        <v>#NUM!</v>
      </c>
      <c r="Q136" s="233" t="e">
        <f t="shared" si="27"/>
        <v>#NUM!</v>
      </c>
      <c r="R136" s="233" t="e">
        <f t="shared" si="28"/>
        <v>#NUM!</v>
      </c>
      <c r="S136" s="240"/>
      <c r="T136" s="233" t="e">
        <f t="shared" si="29"/>
        <v>#NUM!</v>
      </c>
      <c r="U136" s="226"/>
      <c r="V136" s="226"/>
      <c r="W136" s="226"/>
      <c r="X136" s="230"/>
      <c r="Y136" s="1"/>
    </row>
    <row r="137" spans="1:25" ht="15.75" x14ac:dyDescent="0.3">
      <c r="A137" s="1"/>
      <c r="B137" s="232">
        <v>114</v>
      </c>
      <c r="C137" s="233" t="e">
        <f t="shared" si="20"/>
        <v>#NUM!</v>
      </c>
      <c r="D137" s="241" t="e">
        <f t="shared" si="21"/>
        <v>#NUM!</v>
      </c>
      <c r="E137" s="233" t="e">
        <f t="shared" si="22"/>
        <v>#NUM!</v>
      </c>
      <c r="F137" s="233" t="e">
        <f t="shared" si="23"/>
        <v>#NUM!</v>
      </c>
      <c r="G137" s="240"/>
      <c r="H137" s="233" t="e">
        <f t="shared" si="24"/>
        <v>#NUM!</v>
      </c>
      <c r="I137" s="1"/>
      <c r="K137" s="227"/>
      <c r="L137" s="1"/>
      <c r="M137" s="1"/>
      <c r="N137" s="232">
        <v>114</v>
      </c>
      <c r="O137" s="233" t="e">
        <f t="shared" si="25"/>
        <v>#NUM!</v>
      </c>
      <c r="P137" s="241" t="e">
        <f t="shared" si="26"/>
        <v>#NUM!</v>
      </c>
      <c r="Q137" s="233" t="e">
        <f t="shared" si="27"/>
        <v>#NUM!</v>
      </c>
      <c r="R137" s="233" t="e">
        <f t="shared" si="28"/>
        <v>#NUM!</v>
      </c>
      <c r="S137" s="240"/>
      <c r="T137" s="233" t="e">
        <f t="shared" si="29"/>
        <v>#NUM!</v>
      </c>
      <c r="U137" s="226"/>
      <c r="V137" s="226"/>
      <c r="W137" s="226"/>
      <c r="X137" s="230"/>
      <c r="Y137" s="1"/>
    </row>
    <row r="138" spans="1:25" ht="15.75" x14ac:dyDescent="0.3">
      <c r="A138" s="1"/>
      <c r="B138" s="232">
        <v>115</v>
      </c>
      <c r="C138" s="233" t="e">
        <f t="shared" si="20"/>
        <v>#NUM!</v>
      </c>
      <c r="D138" s="241" t="e">
        <f t="shared" si="21"/>
        <v>#NUM!</v>
      </c>
      <c r="E138" s="233" t="e">
        <f t="shared" si="22"/>
        <v>#NUM!</v>
      </c>
      <c r="F138" s="233" t="e">
        <f t="shared" si="23"/>
        <v>#NUM!</v>
      </c>
      <c r="G138" s="240"/>
      <c r="H138" s="233" t="e">
        <f t="shared" si="24"/>
        <v>#NUM!</v>
      </c>
      <c r="I138" s="1"/>
      <c r="K138" s="227"/>
      <c r="L138" s="1"/>
      <c r="M138" s="1"/>
      <c r="N138" s="232">
        <v>115</v>
      </c>
      <c r="O138" s="233" t="e">
        <f t="shared" si="25"/>
        <v>#NUM!</v>
      </c>
      <c r="P138" s="241" t="e">
        <f t="shared" si="26"/>
        <v>#NUM!</v>
      </c>
      <c r="Q138" s="233" t="e">
        <f t="shared" si="27"/>
        <v>#NUM!</v>
      </c>
      <c r="R138" s="233" t="e">
        <f t="shared" si="28"/>
        <v>#NUM!</v>
      </c>
      <c r="S138" s="240"/>
      <c r="T138" s="233" t="e">
        <f t="shared" si="29"/>
        <v>#NUM!</v>
      </c>
      <c r="U138" s="226"/>
      <c r="V138" s="226"/>
      <c r="W138" s="226"/>
      <c r="X138" s="230"/>
      <c r="Y138" s="1"/>
    </row>
    <row r="139" spans="1:25" ht="15.75" x14ac:dyDescent="0.3">
      <c r="A139" s="1"/>
      <c r="B139" s="232">
        <v>116</v>
      </c>
      <c r="C139" s="233" t="e">
        <f t="shared" si="20"/>
        <v>#NUM!</v>
      </c>
      <c r="D139" s="241" t="e">
        <f t="shared" si="21"/>
        <v>#NUM!</v>
      </c>
      <c r="E139" s="233" t="e">
        <f t="shared" si="22"/>
        <v>#NUM!</v>
      </c>
      <c r="F139" s="233" t="e">
        <f t="shared" si="23"/>
        <v>#NUM!</v>
      </c>
      <c r="G139" s="240"/>
      <c r="H139" s="233" t="e">
        <f t="shared" si="24"/>
        <v>#NUM!</v>
      </c>
      <c r="I139" s="1"/>
      <c r="K139" s="227"/>
      <c r="L139" s="1"/>
      <c r="M139" s="1"/>
      <c r="N139" s="232">
        <v>116</v>
      </c>
      <c r="O139" s="233" t="e">
        <f t="shared" si="25"/>
        <v>#NUM!</v>
      </c>
      <c r="P139" s="241" t="e">
        <f t="shared" si="26"/>
        <v>#NUM!</v>
      </c>
      <c r="Q139" s="233" t="e">
        <f t="shared" si="27"/>
        <v>#NUM!</v>
      </c>
      <c r="R139" s="233" t="e">
        <f t="shared" si="28"/>
        <v>#NUM!</v>
      </c>
      <c r="S139" s="240"/>
      <c r="T139" s="233" t="e">
        <f t="shared" si="29"/>
        <v>#NUM!</v>
      </c>
      <c r="U139" s="226"/>
      <c r="V139" s="226"/>
      <c r="W139" s="226"/>
      <c r="X139" s="230"/>
      <c r="Y139" s="1"/>
    </row>
    <row r="140" spans="1:25" ht="15.75" x14ac:dyDescent="0.3">
      <c r="A140" s="1"/>
      <c r="B140" s="232">
        <v>117</v>
      </c>
      <c r="C140" s="233" t="e">
        <f t="shared" si="20"/>
        <v>#NUM!</v>
      </c>
      <c r="D140" s="241" t="e">
        <f t="shared" si="21"/>
        <v>#NUM!</v>
      </c>
      <c r="E140" s="233" t="e">
        <f t="shared" si="22"/>
        <v>#NUM!</v>
      </c>
      <c r="F140" s="233" t="e">
        <f t="shared" si="23"/>
        <v>#NUM!</v>
      </c>
      <c r="G140" s="240"/>
      <c r="H140" s="233" t="e">
        <f t="shared" si="24"/>
        <v>#NUM!</v>
      </c>
      <c r="I140" s="1"/>
      <c r="K140" s="227"/>
      <c r="L140" s="1"/>
      <c r="M140" s="1"/>
      <c r="N140" s="232">
        <v>117</v>
      </c>
      <c r="O140" s="233" t="e">
        <f t="shared" si="25"/>
        <v>#NUM!</v>
      </c>
      <c r="P140" s="241" t="e">
        <f t="shared" si="26"/>
        <v>#NUM!</v>
      </c>
      <c r="Q140" s="233" t="e">
        <f t="shared" si="27"/>
        <v>#NUM!</v>
      </c>
      <c r="R140" s="233" t="e">
        <f t="shared" si="28"/>
        <v>#NUM!</v>
      </c>
      <c r="S140" s="240"/>
      <c r="T140" s="233" t="e">
        <f t="shared" si="29"/>
        <v>#NUM!</v>
      </c>
      <c r="U140" s="226"/>
      <c r="V140" s="226"/>
      <c r="W140" s="226"/>
      <c r="X140" s="230"/>
      <c r="Y140" s="1"/>
    </row>
    <row r="141" spans="1:25" ht="15.75" x14ac:dyDescent="0.3">
      <c r="A141" s="1"/>
      <c r="B141" s="232">
        <v>118</v>
      </c>
      <c r="C141" s="233" t="e">
        <f t="shared" si="20"/>
        <v>#NUM!</v>
      </c>
      <c r="D141" s="241" t="e">
        <f t="shared" si="21"/>
        <v>#NUM!</v>
      </c>
      <c r="E141" s="233" t="e">
        <f t="shared" si="22"/>
        <v>#NUM!</v>
      </c>
      <c r="F141" s="233" t="e">
        <f t="shared" si="23"/>
        <v>#NUM!</v>
      </c>
      <c r="G141" s="240"/>
      <c r="H141" s="233" t="e">
        <f t="shared" si="24"/>
        <v>#NUM!</v>
      </c>
      <c r="I141" s="1"/>
      <c r="K141" s="227"/>
      <c r="L141" s="1"/>
      <c r="M141" s="1"/>
      <c r="N141" s="232">
        <v>118</v>
      </c>
      <c r="O141" s="233" t="e">
        <f t="shared" si="25"/>
        <v>#NUM!</v>
      </c>
      <c r="P141" s="241" t="e">
        <f t="shared" si="26"/>
        <v>#NUM!</v>
      </c>
      <c r="Q141" s="233" t="e">
        <f t="shared" si="27"/>
        <v>#NUM!</v>
      </c>
      <c r="R141" s="233" t="e">
        <f t="shared" si="28"/>
        <v>#NUM!</v>
      </c>
      <c r="S141" s="240"/>
      <c r="T141" s="233" t="e">
        <f t="shared" si="29"/>
        <v>#NUM!</v>
      </c>
      <c r="U141" s="226"/>
      <c r="V141" s="226"/>
      <c r="W141" s="226"/>
      <c r="X141" s="230"/>
      <c r="Y141" s="1"/>
    </row>
    <row r="142" spans="1:25" ht="15.75" x14ac:dyDescent="0.3">
      <c r="A142" s="1"/>
      <c r="B142" s="232">
        <v>119</v>
      </c>
      <c r="C142" s="233" t="e">
        <f t="shared" si="20"/>
        <v>#NUM!</v>
      </c>
      <c r="D142" s="241" t="e">
        <f t="shared" si="21"/>
        <v>#NUM!</v>
      </c>
      <c r="E142" s="233" t="e">
        <f t="shared" si="22"/>
        <v>#NUM!</v>
      </c>
      <c r="F142" s="233" t="e">
        <f t="shared" si="23"/>
        <v>#NUM!</v>
      </c>
      <c r="G142" s="240"/>
      <c r="H142" s="233" t="e">
        <f t="shared" si="24"/>
        <v>#NUM!</v>
      </c>
      <c r="I142" s="1"/>
      <c r="K142" s="227"/>
      <c r="L142" s="1"/>
      <c r="M142" s="1"/>
      <c r="N142" s="232">
        <v>119</v>
      </c>
      <c r="O142" s="233" t="e">
        <f t="shared" si="25"/>
        <v>#NUM!</v>
      </c>
      <c r="P142" s="241" t="e">
        <f t="shared" si="26"/>
        <v>#NUM!</v>
      </c>
      <c r="Q142" s="233" t="e">
        <f t="shared" si="27"/>
        <v>#NUM!</v>
      </c>
      <c r="R142" s="233" t="e">
        <f t="shared" si="28"/>
        <v>#NUM!</v>
      </c>
      <c r="S142" s="240"/>
      <c r="T142" s="233" t="e">
        <f t="shared" si="29"/>
        <v>#NUM!</v>
      </c>
      <c r="U142" s="226"/>
      <c r="V142" s="226"/>
      <c r="W142" s="226"/>
      <c r="X142" s="230"/>
      <c r="Y142" s="1"/>
    </row>
    <row r="143" spans="1:25" ht="15.75" x14ac:dyDescent="0.3">
      <c r="A143" s="1"/>
      <c r="B143" s="232">
        <v>120</v>
      </c>
      <c r="C143" s="233" t="e">
        <f t="shared" si="20"/>
        <v>#NUM!</v>
      </c>
      <c r="D143" s="241" t="e">
        <f t="shared" si="21"/>
        <v>#NUM!</v>
      </c>
      <c r="E143" s="233" t="e">
        <f t="shared" si="22"/>
        <v>#NUM!</v>
      </c>
      <c r="F143" s="233" t="e">
        <f t="shared" si="23"/>
        <v>#NUM!</v>
      </c>
      <c r="G143" s="240"/>
      <c r="H143" s="233" t="e">
        <f t="shared" si="24"/>
        <v>#NUM!</v>
      </c>
      <c r="I143" s="1"/>
      <c r="K143" s="227"/>
      <c r="L143" s="1"/>
      <c r="M143" s="1"/>
      <c r="N143" s="232">
        <v>120</v>
      </c>
      <c r="O143" s="233" t="e">
        <f t="shared" si="25"/>
        <v>#NUM!</v>
      </c>
      <c r="P143" s="241" t="e">
        <f t="shared" si="26"/>
        <v>#NUM!</v>
      </c>
      <c r="Q143" s="233" t="e">
        <f t="shared" si="27"/>
        <v>#NUM!</v>
      </c>
      <c r="R143" s="233" t="e">
        <f t="shared" si="28"/>
        <v>#NUM!</v>
      </c>
      <c r="S143" s="240"/>
      <c r="T143" s="233" t="e">
        <f t="shared" si="29"/>
        <v>#NUM!</v>
      </c>
      <c r="U143" s="226"/>
      <c r="V143" s="226"/>
      <c r="W143" s="226"/>
      <c r="X143" s="230"/>
      <c r="Y143" s="1"/>
    </row>
    <row r="144" spans="1:25" ht="15.75" x14ac:dyDescent="0.3">
      <c r="A144" s="1"/>
      <c r="B144" s="232">
        <v>121</v>
      </c>
      <c r="C144" s="233" t="e">
        <f t="shared" si="20"/>
        <v>#NUM!</v>
      </c>
      <c r="D144" s="241" t="e">
        <f t="shared" si="21"/>
        <v>#NUM!</v>
      </c>
      <c r="E144" s="233" t="e">
        <f t="shared" si="22"/>
        <v>#NUM!</v>
      </c>
      <c r="F144" s="233" t="e">
        <f t="shared" si="23"/>
        <v>#NUM!</v>
      </c>
      <c r="G144" s="240"/>
      <c r="H144" s="233" t="e">
        <f t="shared" si="24"/>
        <v>#NUM!</v>
      </c>
      <c r="I144" s="1"/>
      <c r="K144" s="227"/>
      <c r="L144" s="1"/>
      <c r="M144" s="1"/>
      <c r="N144" s="232">
        <v>121</v>
      </c>
      <c r="O144" s="233" t="e">
        <f t="shared" si="25"/>
        <v>#NUM!</v>
      </c>
      <c r="P144" s="241" t="e">
        <f t="shared" si="26"/>
        <v>#NUM!</v>
      </c>
      <c r="Q144" s="233" t="e">
        <f t="shared" si="27"/>
        <v>#NUM!</v>
      </c>
      <c r="R144" s="233" t="e">
        <f t="shared" si="28"/>
        <v>#NUM!</v>
      </c>
      <c r="S144" s="240"/>
      <c r="T144" s="233" t="e">
        <f t="shared" si="29"/>
        <v>#NUM!</v>
      </c>
      <c r="U144" s="226"/>
      <c r="V144" s="226"/>
      <c r="W144" s="226"/>
      <c r="X144" s="230"/>
      <c r="Y144" s="1"/>
    </row>
    <row r="145" spans="1:25" ht="15.75" x14ac:dyDescent="0.3">
      <c r="A145" s="1"/>
      <c r="B145" s="232">
        <v>122</v>
      </c>
      <c r="C145" s="233" t="e">
        <f t="shared" si="20"/>
        <v>#NUM!</v>
      </c>
      <c r="D145" s="241" t="e">
        <f t="shared" si="21"/>
        <v>#NUM!</v>
      </c>
      <c r="E145" s="233" t="e">
        <f t="shared" si="22"/>
        <v>#NUM!</v>
      </c>
      <c r="F145" s="233" t="e">
        <f t="shared" si="23"/>
        <v>#NUM!</v>
      </c>
      <c r="G145" s="240"/>
      <c r="H145" s="233" t="e">
        <f t="shared" si="24"/>
        <v>#NUM!</v>
      </c>
      <c r="I145" s="1"/>
      <c r="K145" s="227"/>
      <c r="L145" s="1"/>
      <c r="M145" s="1"/>
      <c r="N145" s="232">
        <v>122</v>
      </c>
      <c r="O145" s="233" t="e">
        <f t="shared" si="25"/>
        <v>#NUM!</v>
      </c>
      <c r="P145" s="241" t="e">
        <f t="shared" si="26"/>
        <v>#NUM!</v>
      </c>
      <c r="Q145" s="233" t="e">
        <f t="shared" si="27"/>
        <v>#NUM!</v>
      </c>
      <c r="R145" s="233" t="e">
        <f t="shared" si="28"/>
        <v>#NUM!</v>
      </c>
      <c r="S145" s="240"/>
      <c r="T145" s="233" t="e">
        <f t="shared" si="29"/>
        <v>#NUM!</v>
      </c>
      <c r="U145" s="226"/>
      <c r="V145" s="226"/>
      <c r="W145" s="226"/>
      <c r="X145" s="230"/>
      <c r="Y145" s="1"/>
    </row>
    <row r="146" spans="1:25" ht="15.75" x14ac:dyDescent="0.3">
      <c r="A146" s="1"/>
      <c r="B146" s="232">
        <v>123</v>
      </c>
      <c r="C146" s="233" t="e">
        <f t="shared" si="20"/>
        <v>#NUM!</v>
      </c>
      <c r="D146" s="241" t="e">
        <f t="shared" si="21"/>
        <v>#NUM!</v>
      </c>
      <c r="E146" s="233" t="e">
        <f t="shared" si="22"/>
        <v>#NUM!</v>
      </c>
      <c r="F146" s="233" t="e">
        <f t="shared" si="23"/>
        <v>#NUM!</v>
      </c>
      <c r="G146" s="240"/>
      <c r="H146" s="233" t="e">
        <f t="shared" si="24"/>
        <v>#NUM!</v>
      </c>
      <c r="I146" s="1"/>
      <c r="K146" s="227"/>
      <c r="L146" s="1"/>
      <c r="M146" s="1"/>
      <c r="N146" s="232">
        <v>123</v>
      </c>
      <c r="O146" s="233" t="e">
        <f t="shared" si="25"/>
        <v>#NUM!</v>
      </c>
      <c r="P146" s="241" t="e">
        <f t="shared" si="26"/>
        <v>#NUM!</v>
      </c>
      <c r="Q146" s="233" t="e">
        <f t="shared" si="27"/>
        <v>#NUM!</v>
      </c>
      <c r="R146" s="233" t="e">
        <f t="shared" si="28"/>
        <v>#NUM!</v>
      </c>
      <c r="S146" s="240"/>
      <c r="T146" s="233" t="e">
        <f t="shared" si="29"/>
        <v>#NUM!</v>
      </c>
      <c r="U146" s="226"/>
      <c r="V146" s="226"/>
      <c r="W146" s="226"/>
      <c r="X146" s="230"/>
      <c r="Y146" s="1"/>
    </row>
    <row r="147" spans="1:25" ht="15.75" x14ac:dyDescent="0.3">
      <c r="A147" s="1"/>
      <c r="B147" s="232">
        <v>124</v>
      </c>
      <c r="C147" s="233" t="e">
        <f t="shared" si="20"/>
        <v>#NUM!</v>
      </c>
      <c r="D147" s="241" t="e">
        <f t="shared" si="21"/>
        <v>#NUM!</v>
      </c>
      <c r="E147" s="233" t="e">
        <f t="shared" si="22"/>
        <v>#NUM!</v>
      </c>
      <c r="F147" s="233" t="e">
        <f t="shared" si="23"/>
        <v>#NUM!</v>
      </c>
      <c r="G147" s="240"/>
      <c r="H147" s="233" t="e">
        <f t="shared" si="24"/>
        <v>#NUM!</v>
      </c>
      <c r="I147" s="1"/>
      <c r="K147" s="227"/>
      <c r="L147" s="1"/>
      <c r="M147" s="1"/>
      <c r="N147" s="232">
        <v>124</v>
      </c>
      <c r="O147" s="233" t="e">
        <f t="shared" si="25"/>
        <v>#NUM!</v>
      </c>
      <c r="P147" s="241" t="e">
        <f t="shared" si="26"/>
        <v>#NUM!</v>
      </c>
      <c r="Q147" s="233" t="e">
        <f t="shared" si="27"/>
        <v>#NUM!</v>
      </c>
      <c r="R147" s="233" t="e">
        <f t="shared" si="28"/>
        <v>#NUM!</v>
      </c>
      <c r="S147" s="240"/>
      <c r="T147" s="233" t="e">
        <f t="shared" si="29"/>
        <v>#NUM!</v>
      </c>
      <c r="U147" s="226"/>
      <c r="V147" s="226"/>
      <c r="W147" s="226"/>
      <c r="X147" s="230"/>
      <c r="Y147" s="1"/>
    </row>
    <row r="148" spans="1:25" ht="15.75" x14ac:dyDescent="0.3">
      <c r="A148" s="1"/>
      <c r="B148" s="232">
        <v>125</v>
      </c>
      <c r="C148" s="233" t="e">
        <f t="shared" si="20"/>
        <v>#NUM!</v>
      </c>
      <c r="D148" s="241" t="e">
        <f t="shared" si="21"/>
        <v>#NUM!</v>
      </c>
      <c r="E148" s="233" t="e">
        <f t="shared" si="22"/>
        <v>#NUM!</v>
      </c>
      <c r="F148" s="233" t="e">
        <f t="shared" si="23"/>
        <v>#NUM!</v>
      </c>
      <c r="G148" s="240"/>
      <c r="H148" s="233" t="e">
        <f t="shared" si="24"/>
        <v>#NUM!</v>
      </c>
      <c r="I148" s="1"/>
      <c r="K148" s="227"/>
      <c r="L148" s="1"/>
      <c r="M148" s="1"/>
      <c r="N148" s="232">
        <v>125</v>
      </c>
      <c r="O148" s="233" t="e">
        <f t="shared" si="25"/>
        <v>#NUM!</v>
      </c>
      <c r="P148" s="241" t="e">
        <f t="shared" si="26"/>
        <v>#NUM!</v>
      </c>
      <c r="Q148" s="233" t="e">
        <f t="shared" si="27"/>
        <v>#NUM!</v>
      </c>
      <c r="R148" s="233" t="e">
        <f t="shared" si="28"/>
        <v>#NUM!</v>
      </c>
      <c r="S148" s="240"/>
      <c r="T148" s="233" t="e">
        <f t="shared" si="29"/>
        <v>#NUM!</v>
      </c>
      <c r="U148" s="226"/>
      <c r="V148" s="226"/>
      <c r="W148" s="226"/>
      <c r="X148" s="230"/>
      <c r="Y148" s="1"/>
    </row>
    <row r="149" spans="1:25" ht="15.75" x14ac:dyDescent="0.3">
      <c r="A149" s="1"/>
      <c r="B149" s="232">
        <v>126</v>
      </c>
      <c r="C149" s="233" t="e">
        <f t="shared" si="20"/>
        <v>#NUM!</v>
      </c>
      <c r="D149" s="241" t="e">
        <f t="shared" si="21"/>
        <v>#NUM!</v>
      </c>
      <c r="E149" s="233" t="e">
        <f t="shared" si="22"/>
        <v>#NUM!</v>
      </c>
      <c r="F149" s="233" t="e">
        <f t="shared" si="23"/>
        <v>#NUM!</v>
      </c>
      <c r="G149" s="240"/>
      <c r="H149" s="233" t="e">
        <f t="shared" si="24"/>
        <v>#NUM!</v>
      </c>
      <c r="I149" s="1"/>
      <c r="K149" s="227"/>
      <c r="L149" s="1"/>
      <c r="M149" s="1"/>
      <c r="N149" s="232">
        <v>126</v>
      </c>
      <c r="O149" s="233" t="e">
        <f t="shared" si="25"/>
        <v>#NUM!</v>
      </c>
      <c r="P149" s="241" t="e">
        <f t="shared" si="26"/>
        <v>#NUM!</v>
      </c>
      <c r="Q149" s="233" t="e">
        <f t="shared" si="27"/>
        <v>#NUM!</v>
      </c>
      <c r="R149" s="233" t="e">
        <f t="shared" si="28"/>
        <v>#NUM!</v>
      </c>
      <c r="S149" s="240"/>
      <c r="T149" s="233" t="e">
        <f t="shared" si="29"/>
        <v>#NUM!</v>
      </c>
      <c r="U149" s="226"/>
      <c r="V149" s="226"/>
      <c r="W149" s="226"/>
      <c r="X149" s="230"/>
      <c r="Y149" s="1"/>
    </row>
    <row r="150" spans="1:25" ht="15.75" x14ac:dyDescent="0.3">
      <c r="A150" s="1"/>
      <c r="B150" s="232">
        <v>127</v>
      </c>
      <c r="C150" s="233" t="e">
        <f t="shared" si="20"/>
        <v>#NUM!</v>
      </c>
      <c r="D150" s="241" t="e">
        <f t="shared" si="21"/>
        <v>#NUM!</v>
      </c>
      <c r="E150" s="233" t="e">
        <f t="shared" si="22"/>
        <v>#NUM!</v>
      </c>
      <c r="F150" s="233" t="e">
        <f t="shared" si="23"/>
        <v>#NUM!</v>
      </c>
      <c r="G150" s="240"/>
      <c r="H150" s="233" t="e">
        <f t="shared" si="24"/>
        <v>#NUM!</v>
      </c>
      <c r="I150" s="1"/>
      <c r="K150" s="227"/>
      <c r="L150" s="1"/>
      <c r="M150" s="1"/>
      <c r="N150" s="232">
        <v>127</v>
      </c>
      <c r="O150" s="233" t="e">
        <f t="shared" si="25"/>
        <v>#NUM!</v>
      </c>
      <c r="P150" s="241" t="e">
        <f t="shared" si="26"/>
        <v>#NUM!</v>
      </c>
      <c r="Q150" s="233" t="e">
        <f t="shared" si="27"/>
        <v>#NUM!</v>
      </c>
      <c r="R150" s="233" t="e">
        <f t="shared" si="28"/>
        <v>#NUM!</v>
      </c>
      <c r="S150" s="240"/>
      <c r="T150" s="233" t="e">
        <f t="shared" si="29"/>
        <v>#NUM!</v>
      </c>
      <c r="U150" s="226"/>
      <c r="V150" s="226"/>
      <c r="W150" s="226"/>
      <c r="X150" s="230"/>
      <c r="Y150" s="1"/>
    </row>
    <row r="151" spans="1:25" ht="15.75" x14ac:dyDescent="0.3">
      <c r="A151" s="1"/>
      <c r="B151" s="232">
        <v>128</v>
      </c>
      <c r="C151" s="233" t="e">
        <f t="shared" si="20"/>
        <v>#NUM!</v>
      </c>
      <c r="D151" s="241" t="e">
        <f t="shared" si="21"/>
        <v>#NUM!</v>
      </c>
      <c r="E151" s="233" t="e">
        <f t="shared" si="22"/>
        <v>#NUM!</v>
      </c>
      <c r="F151" s="233" t="e">
        <f t="shared" si="23"/>
        <v>#NUM!</v>
      </c>
      <c r="G151" s="240"/>
      <c r="H151" s="233" t="e">
        <f t="shared" si="24"/>
        <v>#NUM!</v>
      </c>
      <c r="I151" s="1"/>
      <c r="K151" s="227"/>
      <c r="L151" s="1"/>
      <c r="M151" s="1"/>
      <c r="N151" s="232">
        <v>128</v>
      </c>
      <c r="O151" s="233" t="e">
        <f t="shared" si="25"/>
        <v>#NUM!</v>
      </c>
      <c r="P151" s="241" t="e">
        <f t="shared" si="26"/>
        <v>#NUM!</v>
      </c>
      <c r="Q151" s="233" t="e">
        <f t="shared" si="27"/>
        <v>#NUM!</v>
      </c>
      <c r="R151" s="233" t="e">
        <f t="shared" si="28"/>
        <v>#NUM!</v>
      </c>
      <c r="S151" s="240"/>
      <c r="T151" s="233" t="e">
        <f t="shared" si="29"/>
        <v>#NUM!</v>
      </c>
      <c r="U151" s="226"/>
      <c r="V151" s="226"/>
      <c r="W151" s="226"/>
      <c r="X151" s="230"/>
      <c r="Y151" s="1"/>
    </row>
    <row r="152" spans="1:25" ht="15.75" x14ac:dyDescent="0.3">
      <c r="A152" s="1"/>
      <c r="B152" s="232">
        <v>129</v>
      </c>
      <c r="C152" s="233" t="e">
        <f t="shared" si="20"/>
        <v>#NUM!</v>
      </c>
      <c r="D152" s="241" t="e">
        <f t="shared" si="21"/>
        <v>#NUM!</v>
      </c>
      <c r="E152" s="233" t="e">
        <f t="shared" si="22"/>
        <v>#NUM!</v>
      </c>
      <c r="F152" s="233" t="e">
        <f t="shared" si="23"/>
        <v>#NUM!</v>
      </c>
      <c r="G152" s="240"/>
      <c r="H152" s="233" t="e">
        <f t="shared" si="24"/>
        <v>#NUM!</v>
      </c>
      <c r="I152" s="1"/>
      <c r="K152" s="227"/>
      <c r="L152" s="1"/>
      <c r="M152" s="1"/>
      <c r="N152" s="232">
        <v>129</v>
      </c>
      <c r="O152" s="233" t="e">
        <f t="shared" si="25"/>
        <v>#NUM!</v>
      </c>
      <c r="P152" s="241" t="e">
        <f t="shared" si="26"/>
        <v>#NUM!</v>
      </c>
      <c r="Q152" s="233" t="e">
        <f t="shared" si="27"/>
        <v>#NUM!</v>
      </c>
      <c r="R152" s="233" t="e">
        <f t="shared" si="28"/>
        <v>#NUM!</v>
      </c>
      <c r="S152" s="240"/>
      <c r="T152" s="233" t="e">
        <f t="shared" si="29"/>
        <v>#NUM!</v>
      </c>
      <c r="U152" s="226"/>
      <c r="V152" s="226"/>
      <c r="W152" s="226"/>
      <c r="X152" s="230"/>
      <c r="Y152" s="1"/>
    </row>
    <row r="153" spans="1:25" ht="15.75" x14ac:dyDescent="0.3">
      <c r="A153" s="1"/>
      <c r="B153" s="232">
        <v>130</v>
      </c>
      <c r="C153" s="233" t="e">
        <f t="shared" si="20"/>
        <v>#NUM!</v>
      </c>
      <c r="D153" s="241" t="e">
        <f t="shared" si="21"/>
        <v>#NUM!</v>
      </c>
      <c r="E153" s="233" t="e">
        <f t="shared" si="22"/>
        <v>#NUM!</v>
      </c>
      <c r="F153" s="233" t="e">
        <f t="shared" si="23"/>
        <v>#NUM!</v>
      </c>
      <c r="G153" s="240"/>
      <c r="H153" s="233" t="e">
        <f t="shared" si="24"/>
        <v>#NUM!</v>
      </c>
      <c r="I153" s="1"/>
      <c r="K153" s="227"/>
      <c r="L153" s="1"/>
      <c r="M153" s="1"/>
      <c r="N153" s="232">
        <v>130</v>
      </c>
      <c r="O153" s="233" t="e">
        <f t="shared" si="25"/>
        <v>#NUM!</v>
      </c>
      <c r="P153" s="241" t="e">
        <f t="shared" si="26"/>
        <v>#NUM!</v>
      </c>
      <c r="Q153" s="233" t="e">
        <f t="shared" si="27"/>
        <v>#NUM!</v>
      </c>
      <c r="R153" s="233" t="e">
        <f t="shared" si="28"/>
        <v>#NUM!</v>
      </c>
      <c r="S153" s="240"/>
      <c r="T153" s="233" t="e">
        <f t="shared" si="29"/>
        <v>#NUM!</v>
      </c>
      <c r="U153" s="226"/>
      <c r="V153" s="226"/>
      <c r="W153" s="226"/>
      <c r="X153" s="230"/>
      <c r="Y153" s="1"/>
    </row>
    <row r="154" spans="1:25" ht="15.75" x14ac:dyDescent="0.3">
      <c r="A154" s="1"/>
      <c r="B154" s="232">
        <v>131</v>
      </c>
      <c r="C154" s="233" t="e">
        <f t="shared" si="20"/>
        <v>#NUM!</v>
      </c>
      <c r="D154" s="241" t="e">
        <f t="shared" si="21"/>
        <v>#NUM!</v>
      </c>
      <c r="E154" s="233" t="e">
        <f t="shared" si="22"/>
        <v>#NUM!</v>
      </c>
      <c r="F154" s="233" t="e">
        <f t="shared" si="23"/>
        <v>#NUM!</v>
      </c>
      <c r="G154" s="240"/>
      <c r="H154" s="233" t="e">
        <f t="shared" si="24"/>
        <v>#NUM!</v>
      </c>
      <c r="I154" s="1"/>
      <c r="K154" s="227"/>
      <c r="L154" s="1"/>
      <c r="M154" s="1"/>
      <c r="N154" s="232">
        <v>131</v>
      </c>
      <c r="O154" s="233" t="e">
        <f t="shared" si="25"/>
        <v>#NUM!</v>
      </c>
      <c r="P154" s="241" t="e">
        <f t="shared" si="26"/>
        <v>#NUM!</v>
      </c>
      <c r="Q154" s="233" t="e">
        <f t="shared" si="27"/>
        <v>#NUM!</v>
      </c>
      <c r="R154" s="233" t="e">
        <f t="shared" si="28"/>
        <v>#NUM!</v>
      </c>
      <c r="S154" s="240"/>
      <c r="T154" s="233" t="e">
        <f t="shared" si="29"/>
        <v>#NUM!</v>
      </c>
      <c r="U154" s="226"/>
      <c r="V154" s="226"/>
      <c r="W154" s="226"/>
      <c r="X154" s="230"/>
      <c r="Y154" s="1"/>
    </row>
    <row r="155" spans="1:25" ht="15.75" x14ac:dyDescent="0.3">
      <c r="A155" s="1"/>
      <c r="B155" s="232">
        <v>132</v>
      </c>
      <c r="C155" s="233" t="e">
        <f t="shared" si="20"/>
        <v>#NUM!</v>
      </c>
      <c r="D155" s="241" t="e">
        <f t="shared" si="21"/>
        <v>#NUM!</v>
      </c>
      <c r="E155" s="233" t="e">
        <f t="shared" si="22"/>
        <v>#NUM!</v>
      </c>
      <c r="F155" s="233" t="e">
        <f t="shared" si="23"/>
        <v>#NUM!</v>
      </c>
      <c r="G155" s="240"/>
      <c r="H155" s="233" t="e">
        <f t="shared" si="24"/>
        <v>#NUM!</v>
      </c>
      <c r="I155" s="1"/>
      <c r="K155" s="227"/>
      <c r="L155" s="1"/>
      <c r="M155" s="1"/>
      <c r="N155" s="232">
        <v>132</v>
      </c>
      <c r="O155" s="233" t="e">
        <f t="shared" si="25"/>
        <v>#NUM!</v>
      </c>
      <c r="P155" s="241" t="e">
        <f t="shared" si="26"/>
        <v>#NUM!</v>
      </c>
      <c r="Q155" s="233" t="e">
        <f t="shared" si="27"/>
        <v>#NUM!</v>
      </c>
      <c r="R155" s="233" t="e">
        <f t="shared" si="28"/>
        <v>#NUM!</v>
      </c>
      <c r="S155" s="240"/>
      <c r="T155" s="233" t="e">
        <f t="shared" si="29"/>
        <v>#NUM!</v>
      </c>
      <c r="U155" s="226"/>
      <c r="V155" s="226"/>
      <c r="W155" s="226"/>
      <c r="X155" s="230"/>
      <c r="Y155" s="1"/>
    </row>
    <row r="156" spans="1:25" ht="15.75" x14ac:dyDescent="0.3">
      <c r="A156" s="1"/>
      <c r="B156" s="232">
        <v>133</v>
      </c>
      <c r="C156" s="233" t="e">
        <f t="shared" si="20"/>
        <v>#NUM!</v>
      </c>
      <c r="D156" s="241" t="e">
        <f t="shared" si="21"/>
        <v>#NUM!</v>
      </c>
      <c r="E156" s="233" t="e">
        <f t="shared" si="22"/>
        <v>#NUM!</v>
      </c>
      <c r="F156" s="233" t="e">
        <f t="shared" si="23"/>
        <v>#NUM!</v>
      </c>
      <c r="G156" s="240"/>
      <c r="H156" s="233" t="e">
        <f t="shared" si="24"/>
        <v>#NUM!</v>
      </c>
      <c r="I156" s="1"/>
      <c r="K156" s="227"/>
      <c r="L156" s="1"/>
      <c r="M156" s="1"/>
      <c r="N156" s="232">
        <v>133</v>
      </c>
      <c r="O156" s="233" t="e">
        <f t="shared" si="25"/>
        <v>#NUM!</v>
      </c>
      <c r="P156" s="241" t="e">
        <f t="shared" si="26"/>
        <v>#NUM!</v>
      </c>
      <c r="Q156" s="233" t="e">
        <f t="shared" si="27"/>
        <v>#NUM!</v>
      </c>
      <c r="R156" s="233" t="e">
        <f t="shared" si="28"/>
        <v>#NUM!</v>
      </c>
      <c r="S156" s="240"/>
      <c r="T156" s="233" t="e">
        <f t="shared" si="29"/>
        <v>#NUM!</v>
      </c>
      <c r="U156" s="226"/>
      <c r="V156" s="226"/>
      <c r="W156" s="226"/>
      <c r="X156" s="230"/>
      <c r="Y156" s="1"/>
    </row>
    <row r="157" spans="1:25" ht="15.75" x14ac:dyDescent="0.3">
      <c r="A157" s="1"/>
      <c r="B157" s="232">
        <v>134</v>
      </c>
      <c r="C157" s="233" t="e">
        <f t="shared" si="20"/>
        <v>#NUM!</v>
      </c>
      <c r="D157" s="241" t="e">
        <f t="shared" si="21"/>
        <v>#NUM!</v>
      </c>
      <c r="E157" s="233" t="e">
        <f t="shared" si="22"/>
        <v>#NUM!</v>
      </c>
      <c r="F157" s="233" t="e">
        <f t="shared" si="23"/>
        <v>#NUM!</v>
      </c>
      <c r="G157" s="240"/>
      <c r="H157" s="233" t="e">
        <f t="shared" si="24"/>
        <v>#NUM!</v>
      </c>
      <c r="I157" s="1"/>
      <c r="K157" s="227"/>
      <c r="L157" s="1"/>
      <c r="M157" s="1"/>
      <c r="N157" s="232">
        <v>134</v>
      </c>
      <c r="O157" s="233" t="e">
        <f t="shared" si="25"/>
        <v>#NUM!</v>
      </c>
      <c r="P157" s="241" t="e">
        <f t="shared" si="26"/>
        <v>#NUM!</v>
      </c>
      <c r="Q157" s="233" t="e">
        <f t="shared" si="27"/>
        <v>#NUM!</v>
      </c>
      <c r="R157" s="233" t="e">
        <f t="shared" si="28"/>
        <v>#NUM!</v>
      </c>
      <c r="S157" s="240"/>
      <c r="T157" s="233" t="e">
        <f t="shared" si="29"/>
        <v>#NUM!</v>
      </c>
      <c r="U157" s="226"/>
      <c r="V157" s="226"/>
      <c r="W157" s="226"/>
      <c r="X157" s="230"/>
      <c r="Y157" s="1"/>
    </row>
    <row r="158" spans="1:25" ht="15.75" x14ac:dyDescent="0.3">
      <c r="A158" s="1"/>
      <c r="B158" s="232">
        <v>135</v>
      </c>
      <c r="C158" s="233" t="e">
        <f t="shared" si="20"/>
        <v>#NUM!</v>
      </c>
      <c r="D158" s="241" t="e">
        <f t="shared" si="21"/>
        <v>#NUM!</v>
      </c>
      <c r="E158" s="233" t="e">
        <f t="shared" si="22"/>
        <v>#NUM!</v>
      </c>
      <c r="F158" s="233" t="e">
        <f t="shared" si="23"/>
        <v>#NUM!</v>
      </c>
      <c r="G158" s="240"/>
      <c r="H158" s="233" t="e">
        <f t="shared" si="24"/>
        <v>#NUM!</v>
      </c>
      <c r="I158" s="1"/>
      <c r="K158" s="227"/>
      <c r="L158" s="1"/>
      <c r="M158" s="1"/>
      <c r="N158" s="232">
        <v>135</v>
      </c>
      <c r="O158" s="233" t="e">
        <f t="shared" si="25"/>
        <v>#NUM!</v>
      </c>
      <c r="P158" s="241" t="e">
        <f t="shared" si="26"/>
        <v>#NUM!</v>
      </c>
      <c r="Q158" s="233" t="e">
        <f t="shared" si="27"/>
        <v>#NUM!</v>
      </c>
      <c r="R158" s="233" t="e">
        <f t="shared" si="28"/>
        <v>#NUM!</v>
      </c>
      <c r="S158" s="240"/>
      <c r="T158" s="233" t="e">
        <f t="shared" si="29"/>
        <v>#NUM!</v>
      </c>
      <c r="U158" s="226"/>
      <c r="V158" s="226"/>
      <c r="W158" s="226"/>
      <c r="X158" s="230"/>
      <c r="Y158" s="1"/>
    </row>
    <row r="159" spans="1:25" ht="15.75" x14ac:dyDescent="0.3">
      <c r="A159" s="1"/>
      <c r="B159" s="232">
        <v>136</v>
      </c>
      <c r="C159" s="233" t="e">
        <f t="shared" si="20"/>
        <v>#NUM!</v>
      </c>
      <c r="D159" s="241" t="e">
        <f t="shared" si="21"/>
        <v>#NUM!</v>
      </c>
      <c r="E159" s="233" t="e">
        <f t="shared" si="22"/>
        <v>#NUM!</v>
      </c>
      <c r="F159" s="233" t="e">
        <f t="shared" si="23"/>
        <v>#NUM!</v>
      </c>
      <c r="G159" s="240"/>
      <c r="H159" s="233" t="e">
        <f t="shared" si="24"/>
        <v>#NUM!</v>
      </c>
      <c r="I159" s="1"/>
      <c r="K159" s="227"/>
      <c r="L159" s="1"/>
      <c r="M159" s="1"/>
      <c r="N159" s="232">
        <v>136</v>
      </c>
      <c r="O159" s="233" t="e">
        <f t="shared" si="25"/>
        <v>#NUM!</v>
      </c>
      <c r="P159" s="241" t="e">
        <f t="shared" si="26"/>
        <v>#NUM!</v>
      </c>
      <c r="Q159" s="233" t="e">
        <f t="shared" si="27"/>
        <v>#NUM!</v>
      </c>
      <c r="R159" s="233" t="e">
        <f t="shared" si="28"/>
        <v>#NUM!</v>
      </c>
      <c r="S159" s="240"/>
      <c r="T159" s="233" t="e">
        <f t="shared" si="29"/>
        <v>#NUM!</v>
      </c>
      <c r="U159" s="226"/>
      <c r="V159" s="226"/>
      <c r="W159" s="226"/>
      <c r="X159" s="230"/>
      <c r="Y159" s="1"/>
    </row>
    <row r="160" spans="1:25" ht="15.75" x14ac:dyDescent="0.3">
      <c r="A160" s="1"/>
      <c r="B160" s="232">
        <v>137</v>
      </c>
      <c r="C160" s="233" t="e">
        <f t="shared" si="20"/>
        <v>#NUM!</v>
      </c>
      <c r="D160" s="241" t="e">
        <f t="shared" si="21"/>
        <v>#NUM!</v>
      </c>
      <c r="E160" s="233" t="e">
        <f t="shared" si="22"/>
        <v>#NUM!</v>
      </c>
      <c r="F160" s="233" t="e">
        <f t="shared" si="23"/>
        <v>#NUM!</v>
      </c>
      <c r="G160" s="240"/>
      <c r="H160" s="233" t="e">
        <f t="shared" si="24"/>
        <v>#NUM!</v>
      </c>
      <c r="I160" s="1"/>
      <c r="K160" s="227"/>
      <c r="L160" s="1"/>
      <c r="M160" s="1"/>
      <c r="N160" s="232">
        <v>137</v>
      </c>
      <c r="O160" s="233" t="e">
        <f t="shared" si="25"/>
        <v>#NUM!</v>
      </c>
      <c r="P160" s="241" t="e">
        <f t="shared" si="26"/>
        <v>#NUM!</v>
      </c>
      <c r="Q160" s="233" t="e">
        <f t="shared" si="27"/>
        <v>#NUM!</v>
      </c>
      <c r="R160" s="233" t="e">
        <f t="shared" si="28"/>
        <v>#NUM!</v>
      </c>
      <c r="S160" s="240"/>
      <c r="T160" s="233" t="e">
        <f t="shared" si="29"/>
        <v>#NUM!</v>
      </c>
      <c r="U160" s="226"/>
      <c r="V160" s="226"/>
      <c r="W160" s="226"/>
      <c r="X160" s="230"/>
      <c r="Y160" s="1"/>
    </row>
    <row r="161" spans="1:25" ht="15.75" x14ac:dyDescent="0.3">
      <c r="A161" s="1"/>
      <c r="B161" s="232">
        <v>138</v>
      </c>
      <c r="C161" s="233" t="e">
        <f t="shared" si="20"/>
        <v>#NUM!</v>
      </c>
      <c r="D161" s="241" t="e">
        <f t="shared" si="21"/>
        <v>#NUM!</v>
      </c>
      <c r="E161" s="233" t="e">
        <f t="shared" si="22"/>
        <v>#NUM!</v>
      </c>
      <c r="F161" s="233" t="e">
        <f t="shared" si="23"/>
        <v>#NUM!</v>
      </c>
      <c r="G161" s="240"/>
      <c r="H161" s="233" t="e">
        <f t="shared" si="24"/>
        <v>#NUM!</v>
      </c>
      <c r="I161" s="1"/>
      <c r="K161" s="227"/>
      <c r="L161" s="1"/>
      <c r="M161" s="1"/>
      <c r="N161" s="232">
        <v>138</v>
      </c>
      <c r="O161" s="233" t="e">
        <f t="shared" si="25"/>
        <v>#NUM!</v>
      </c>
      <c r="P161" s="241" t="e">
        <f t="shared" si="26"/>
        <v>#NUM!</v>
      </c>
      <c r="Q161" s="233" t="e">
        <f t="shared" si="27"/>
        <v>#NUM!</v>
      </c>
      <c r="R161" s="233" t="e">
        <f t="shared" si="28"/>
        <v>#NUM!</v>
      </c>
      <c r="S161" s="240"/>
      <c r="T161" s="233" t="e">
        <f t="shared" si="29"/>
        <v>#NUM!</v>
      </c>
      <c r="U161" s="226"/>
      <c r="V161" s="226"/>
      <c r="W161" s="226"/>
      <c r="X161" s="230"/>
      <c r="Y161" s="1"/>
    </row>
    <row r="162" spans="1:25" ht="15.75" x14ac:dyDescent="0.3">
      <c r="A162" s="1"/>
      <c r="B162" s="232">
        <v>139</v>
      </c>
      <c r="C162" s="233" t="e">
        <f t="shared" si="20"/>
        <v>#NUM!</v>
      </c>
      <c r="D162" s="241" t="e">
        <f t="shared" si="21"/>
        <v>#NUM!</v>
      </c>
      <c r="E162" s="233" t="e">
        <f t="shared" si="22"/>
        <v>#NUM!</v>
      </c>
      <c r="F162" s="233" t="e">
        <f t="shared" si="23"/>
        <v>#NUM!</v>
      </c>
      <c r="G162" s="240"/>
      <c r="H162" s="233" t="e">
        <f t="shared" si="24"/>
        <v>#NUM!</v>
      </c>
      <c r="I162" s="1"/>
      <c r="K162" s="227"/>
      <c r="L162" s="1"/>
      <c r="M162" s="1"/>
      <c r="N162" s="232">
        <v>139</v>
      </c>
      <c r="O162" s="233" t="e">
        <f t="shared" si="25"/>
        <v>#NUM!</v>
      </c>
      <c r="P162" s="241" t="e">
        <f t="shared" si="26"/>
        <v>#NUM!</v>
      </c>
      <c r="Q162" s="233" t="e">
        <f t="shared" si="27"/>
        <v>#NUM!</v>
      </c>
      <c r="R162" s="233" t="e">
        <f t="shared" si="28"/>
        <v>#NUM!</v>
      </c>
      <c r="S162" s="240"/>
      <c r="T162" s="233" t="e">
        <f t="shared" si="29"/>
        <v>#NUM!</v>
      </c>
      <c r="U162" s="226"/>
      <c r="V162" s="226"/>
      <c r="W162" s="226"/>
      <c r="X162" s="230"/>
      <c r="Y162" s="1"/>
    </row>
    <row r="163" spans="1:25" ht="15.75" x14ac:dyDescent="0.3">
      <c r="A163" s="1"/>
      <c r="B163" s="232">
        <v>140</v>
      </c>
      <c r="C163" s="233" t="e">
        <f t="shared" si="20"/>
        <v>#NUM!</v>
      </c>
      <c r="D163" s="241" t="e">
        <f t="shared" si="21"/>
        <v>#NUM!</v>
      </c>
      <c r="E163" s="233" t="e">
        <f t="shared" si="22"/>
        <v>#NUM!</v>
      </c>
      <c r="F163" s="233" t="e">
        <f t="shared" si="23"/>
        <v>#NUM!</v>
      </c>
      <c r="G163" s="240"/>
      <c r="H163" s="233" t="e">
        <f t="shared" si="24"/>
        <v>#NUM!</v>
      </c>
      <c r="I163" s="1"/>
      <c r="K163" s="227"/>
      <c r="L163" s="1"/>
      <c r="M163" s="1"/>
      <c r="N163" s="232">
        <v>140</v>
      </c>
      <c r="O163" s="233" t="e">
        <f t="shared" si="25"/>
        <v>#NUM!</v>
      </c>
      <c r="P163" s="241" t="e">
        <f t="shared" si="26"/>
        <v>#NUM!</v>
      </c>
      <c r="Q163" s="233" t="e">
        <f t="shared" si="27"/>
        <v>#NUM!</v>
      </c>
      <c r="R163" s="233" t="e">
        <f t="shared" si="28"/>
        <v>#NUM!</v>
      </c>
      <c r="S163" s="240"/>
      <c r="T163" s="233" t="e">
        <f t="shared" si="29"/>
        <v>#NUM!</v>
      </c>
      <c r="U163" s="226"/>
      <c r="V163" s="226"/>
      <c r="W163" s="226"/>
      <c r="X163" s="230"/>
      <c r="Y163" s="1"/>
    </row>
    <row r="164" spans="1:25" ht="15.75" x14ac:dyDescent="0.3">
      <c r="A164" s="1"/>
      <c r="B164" s="232">
        <v>141</v>
      </c>
      <c r="C164" s="233" t="e">
        <f t="shared" si="20"/>
        <v>#NUM!</v>
      </c>
      <c r="D164" s="241" t="e">
        <f t="shared" si="21"/>
        <v>#NUM!</v>
      </c>
      <c r="E164" s="233" t="e">
        <f t="shared" si="22"/>
        <v>#NUM!</v>
      </c>
      <c r="F164" s="233" t="e">
        <f t="shared" si="23"/>
        <v>#NUM!</v>
      </c>
      <c r="G164" s="240"/>
      <c r="H164" s="233" t="e">
        <f t="shared" si="24"/>
        <v>#NUM!</v>
      </c>
      <c r="I164" s="1"/>
      <c r="K164" s="227"/>
      <c r="L164" s="1"/>
      <c r="M164" s="1"/>
      <c r="N164" s="232">
        <v>141</v>
      </c>
      <c r="O164" s="233" t="e">
        <f t="shared" si="25"/>
        <v>#NUM!</v>
      </c>
      <c r="P164" s="241" t="e">
        <f t="shared" si="26"/>
        <v>#NUM!</v>
      </c>
      <c r="Q164" s="233" t="e">
        <f t="shared" si="27"/>
        <v>#NUM!</v>
      </c>
      <c r="R164" s="233" t="e">
        <f t="shared" si="28"/>
        <v>#NUM!</v>
      </c>
      <c r="S164" s="240"/>
      <c r="T164" s="233" t="e">
        <f t="shared" si="29"/>
        <v>#NUM!</v>
      </c>
      <c r="U164" s="226"/>
      <c r="V164" s="226"/>
      <c r="W164" s="226"/>
      <c r="X164" s="230"/>
      <c r="Y164" s="1"/>
    </row>
    <row r="165" spans="1:25" ht="15.75" x14ac:dyDescent="0.3">
      <c r="A165" s="1"/>
      <c r="B165" s="232">
        <v>142</v>
      </c>
      <c r="C165" s="233" t="e">
        <f t="shared" si="20"/>
        <v>#NUM!</v>
      </c>
      <c r="D165" s="241" t="e">
        <f t="shared" si="21"/>
        <v>#NUM!</v>
      </c>
      <c r="E165" s="233" t="e">
        <f t="shared" si="22"/>
        <v>#NUM!</v>
      </c>
      <c r="F165" s="233" t="e">
        <f t="shared" si="23"/>
        <v>#NUM!</v>
      </c>
      <c r="G165" s="240"/>
      <c r="H165" s="233" t="e">
        <f t="shared" si="24"/>
        <v>#NUM!</v>
      </c>
      <c r="I165" s="1"/>
      <c r="K165" s="227"/>
      <c r="L165" s="1"/>
      <c r="M165" s="1"/>
      <c r="N165" s="232">
        <v>142</v>
      </c>
      <c r="O165" s="233" t="e">
        <f t="shared" si="25"/>
        <v>#NUM!</v>
      </c>
      <c r="P165" s="241" t="e">
        <f t="shared" si="26"/>
        <v>#NUM!</v>
      </c>
      <c r="Q165" s="233" t="e">
        <f t="shared" si="27"/>
        <v>#NUM!</v>
      </c>
      <c r="R165" s="233" t="e">
        <f t="shared" si="28"/>
        <v>#NUM!</v>
      </c>
      <c r="S165" s="240"/>
      <c r="T165" s="233" t="e">
        <f t="shared" si="29"/>
        <v>#NUM!</v>
      </c>
      <c r="U165" s="226"/>
      <c r="V165" s="226"/>
      <c r="W165" s="226"/>
      <c r="X165" s="230"/>
      <c r="Y165" s="1"/>
    </row>
    <row r="166" spans="1:25" ht="15.75" x14ac:dyDescent="0.3">
      <c r="A166" s="1"/>
      <c r="B166" s="232">
        <v>143</v>
      </c>
      <c r="C166" s="233" t="e">
        <f t="shared" si="20"/>
        <v>#NUM!</v>
      </c>
      <c r="D166" s="241" t="e">
        <f t="shared" si="21"/>
        <v>#NUM!</v>
      </c>
      <c r="E166" s="233" t="e">
        <f t="shared" si="22"/>
        <v>#NUM!</v>
      </c>
      <c r="F166" s="233" t="e">
        <f t="shared" si="23"/>
        <v>#NUM!</v>
      </c>
      <c r="G166" s="240"/>
      <c r="H166" s="233" t="e">
        <f t="shared" si="24"/>
        <v>#NUM!</v>
      </c>
      <c r="I166" s="1"/>
      <c r="K166" s="227"/>
      <c r="L166" s="1"/>
      <c r="M166" s="1"/>
      <c r="N166" s="232">
        <v>143</v>
      </c>
      <c r="O166" s="233" t="e">
        <f t="shared" si="25"/>
        <v>#NUM!</v>
      </c>
      <c r="P166" s="241" t="e">
        <f t="shared" si="26"/>
        <v>#NUM!</v>
      </c>
      <c r="Q166" s="233" t="e">
        <f t="shared" si="27"/>
        <v>#NUM!</v>
      </c>
      <c r="R166" s="233" t="e">
        <f t="shared" si="28"/>
        <v>#NUM!</v>
      </c>
      <c r="S166" s="240"/>
      <c r="T166" s="233" t="e">
        <f t="shared" si="29"/>
        <v>#NUM!</v>
      </c>
      <c r="U166" s="226"/>
      <c r="V166" s="226"/>
      <c r="W166" s="226"/>
      <c r="X166" s="230"/>
      <c r="Y166" s="1"/>
    </row>
    <row r="167" spans="1:25" ht="15.75" x14ac:dyDescent="0.3">
      <c r="A167" s="1"/>
      <c r="B167" s="232">
        <v>144</v>
      </c>
      <c r="C167" s="233" t="e">
        <f t="shared" si="20"/>
        <v>#NUM!</v>
      </c>
      <c r="D167" s="241" t="e">
        <f t="shared" si="21"/>
        <v>#NUM!</v>
      </c>
      <c r="E167" s="233" t="e">
        <f t="shared" si="22"/>
        <v>#NUM!</v>
      </c>
      <c r="F167" s="233" t="e">
        <f t="shared" si="23"/>
        <v>#NUM!</v>
      </c>
      <c r="G167" s="240"/>
      <c r="H167" s="233" t="e">
        <f t="shared" si="24"/>
        <v>#NUM!</v>
      </c>
      <c r="I167" s="1"/>
      <c r="K167" s="227"/>
      <c r="L167" s="1"/>
      <c r="M167" s="1"/>
      <c r="N167" s="232">
        <v>144</v>
      </c>
      <c r="O167" s="233" t="e">
        <f t="shared" si="25"/>
        <v>#NUM!</v>
      </c>
      <c r="P167" s="241" t="e">
        <f t="shared" si="26"/>
        <v>#NUM!</v>
      </c>
      <c r="Q167" s="233" t="e">
        <f t="shared" si="27"/>
        <v>#NUM!</v>
      </c>
      <c r="R167" s="233" t="e">
        <f t="shared" si="28"/>
        <v>#NUM!</v>
      </c>
      <c r="S167" s="240"/>
      <c r="T167" s="233" t="e">
        <f t="shared" si="29"/>
        <v>#NUM!</v>
      </c>
      <c r="U167" s="226"/>
      <c r="V167" s="226"/>
      <c r="W167" s="226"/>
      <c r="X167" s="230"/>
      <c r="Y167" s="1"/>
    </row>
    <row r="168" spans="1:25" ht="15.75" x14ac:dyDescent="0.3">
      <c r="A168" s="1"/>
      <c r="B168" s="232">
        <v>145</v>
      </c>
      <c r="C168" s="233" t="e">
        <f t="shared" ref="C168:C231" si="30">IF(H167&lt;-PMT(H$28,H$27,$F$31),H167*(1+$H$28),-PMT(H$28,H$27,$F$31))</f>
        <v>#NUM!</v>
      </c>
      <c r="D168" s="241" t="e">
        <f t="shared" ref="D168:D231" si="31">H167*$H$28</f>
        <v>#NUM!</v>
      </c>
      <c r="E168" s="233" t="e">
        <f t="shared" ref="E168:E231" si="32">C168-D168</f>
        <v>#NUM!</v>
      </c>
      <c r="F168" s="233" t="e">
        <f t="shared" ref="F168:F231" si="33">H167-E168</f>
        <v>#NUM!</v>
      </c>
      <c r="G168" s="240"/>
      <c r="H168" s="233" t="e">
        <f t="shared" ref="H168:H231" si="34">F168-G168</f>
        <v>#NUM!</v>
      </c>
      <c r="I168" s="1"/>
      <c r="K168" s="227"/>
      <c r="L168" s="1"/>
      <c r="M168" s="1"/>
      <c r="N168" s="232">
        <v>145</v>
      </c>
      <c r="O168" s="233" t="e">
        <f t="shared" ref="O168:O231" si="35">IF(T167&lt;-PMT(T$28,T$27,$F$31),T167*(1+$H$28),-PMT(T$28,T$27,$F$31))</f>
        <v>#NUM!</v>
      </c>
      <c r="P168" s="241" t="e">
        <f t="shared" ref="P168:P231" si="36">T167*$H$28</f>
        <v>#NUM!</v>
      </c>
      <c r="Q168" s="233" t="e">
        <f t="shared" ref="Q168:Q231" si="37">O168-P168</f>
        <v>#NUM!</v>
      </c>
      <c r="R168" s="233" t="e">
        <f t="shared" ref="R168:R231" si="38">T167-Q168</f>
        <v>#NUM!</v>
      </c>
      <c r="S168" s="240"/>
      <c r="T168" s="233" t="e">
        <f t="shared" ref="T168:T231" si="39">R168-S168</f>
        <v>#NUM!</v>
      </c>
      <c r="U168" s="226"/>
      <c r="V168" s="226"/>
      <c r="W168" s="226"/>
      <c r="X168" s="230"/>
      <c r="Y168" s="1"/>
    </row>
    <row r="169" spans="1:25" ht="15.75" x14ac:dyDescent="0.3">
      <c r="A169" s="1"/>
      <c r="B169" s="232">
        <v>146</v>
      </c>
      <c r="C169" s="233" t="e">
        <f t="shared" si="30"/>
        <v>#NUM!</v>
      </c>
      <c r="D169" s="241" t="e">
        <f t="shared" si="31"/>
        <v>#NUM!</v>
      </c>
      <c r="E169" s="233" t="e">
        <f t="shared" si="32"/>
        <v>#NUM!</v>
      </c>
      <c r="F169" s="233" t="e">
        <f t="shared" si="33"/>
        <v>#NUM!</v>
      </c>
      <c r="G169" s="240"/>
      <c r="H169" s="233" t="e">
        <f t="shared" si="34"/>
        <v>#NUM!</v>
      </c>
      <c r="I169" s="1"/>
      <c r="K169" s="227"/>
      <c r="L169" s="1"/>
      <c r="M169" s="1"/>
      <c r="N169" s="232">
        <v>146</v>
      </c>
      <c r="O169" s="233" t="e">
        <f t="shared" si="35"/>
        <v>#NUM!</v>
      </c>
      <c r="P169" s="241" t="e">
        <f t="shared" si="36"/>
        <v>#NUM!</v>
      </c>
      <c r="Q169" s="233" t="e">
        <f t="shared" si="37"/>
        <v>#NUM!</v>
      </c>
      <c r="R169" s="233" t="e">
        <f t="shared" si="38"/>
        <v>#NUM!</v>
      </c>
      <c r="S169" s="240"/>
      <c r="T169" s="233" t="e">
        <f t="shared" si="39"/>
        <v>#NUM!</v>
      </c>
      <c r="U169" s="226"/>
      <c r="V169" s="226"/>
      <c r="W169" s="226"/>
      <c r="X169" s="230"/>
      <c r="Y169" s="1"/>
    </row>
    <row r="170" spans="1:25" ht="15.75" x14ac:dyDescent="0.3">
      <c r="A170" s="1"/>
      <c r="B170" s="232">
        <v>147</v>
      </c>
      <c r="C170" s="233" t="e">
        <f t="shared" si="30"/>
        <v>#NUM!</v>
      </c>
      <c r="D170" s="241" t="e">
        <f t="shared" si="31"/>
        <v>#NUM!</v>
      </c>
      <c r="E170" s="233" t="e">
        <f t="shared" si="32"/>
        <v>#NUM!</v>
      </c>
      <c r="F170" s="233" t="e">
        <f t="shared" si="33"/>
        <v>#NUM!</v>
      </c>
      <c r="G170" s="240"/>
      <c r="H170" s="233" t="e">
        <f t="shared" si="34"/>
        <v>#NUM!</v>
      </c>
      <c r="I170" s="1"/>
      <c r="K170" s="227"/>
      <c r="L170" s="1"/>
      <c r="M170" s="1"/>
      <c r="N170" s="232">
        <v>147</v>
      </c>
      <c r="O170" s="233" t="e">
        <f t="shared" si="35"/>
        <v>#NUM!</v>
      </c>
      <c r="P170" s="241" t="e">
        <f t="shared" si="36"/>
        <v>#NUM!</v>
      </c>
      <c r="Q170" s="233" t="e">
        <f t="shared" si="37"/>
        <v>#NUM!</v>
      </c>
      <c r="R170" s="233" t="e">
        <f t="shared" si="38"/>
        <v>#NUM!</v>
      </c>
      <c r="S170" s="240"/>
      <c r="T170" s="233" t="e">
        <f t="shared" si="39"/>
        <v>#NUM!</v>
      </c>
      <c r="U170" s="226"/>
      <c r="V170" s="226"/>
      <c r="W170" s="226"/>
      <c r="X170" s="230"/>
      <c r="Y170" s="1"/>
    </row>
    <row r="171" spans="1:25" ht="15.75" x14ac:dyDescent="0.3">
      <c r="A171" s="1"/>
      <c r="B171" s="232">
        <v>148</v>
      </c>
      <c r="C171" s="233" t="e">
        <f t="shared" si="30"/>
        <v>#NUM!</v>
      </c>
      <c r="D171" s="241" t="e">
        <f t="shared" si="31"/>
        <v>#NUM!</v>
      </c>
      <c r="E171" s="233" t="e">
        <f t="shared" si="32"/>
        <v>#NUM!</v>
      </c>
      <c r="F171" s="233" t="e">
        <f t="shared" si="33"/>
        <v>#NUM!</v>
      </c>
      <c r="G171" s="240"/>
      <c r="H171" s="233" t="e">
        <f t="shared" si="34"/>
        <v>#NUM!</v>
      </c>
      <c r="I171" s="1"/>
      <c r="K171" s="227"/>
      <c r="L171" s="1"/>
      <c r="M171" s="1"/>
      <c r="N171" s="232">
        <v>148</v>
      </c>
      <c r="O171" s="233" t="e">
        <f t="shared" si="35"/>
        <v>#NUM!</v>
      </c>
      <c r="P171" s="241" t="e">
        <f t="shared" si="36"/>
        <v>#NUM!</v>
      </c>
      <c r="Q171" s="233" t="e">
        <f t="shared" si="37"/>
        <v>#NUM!</v>
      </c>
      <c r="R171" s="233" t="e">
        <f t="shared" si="38"/>
        <v>#NUM!</v>
      </c>
      <c r="S171" s="240"/>
      <c r="T171" s="233" t="e">
        <f t="shared" si="39"/>
        <v>#NUM!</v>
      </c>
      <c r="U171" s="226"/>
      <c r="V171" s="226"/>
      <c r="W171" s="226"/>
      <c r="X171" s="230"/>
      <c r="Y171" s="1"/>
    </row>
    <row r="172" spans="1:25" ht="15.75" x14ac:dyDescent="0.3">
      <c r="A172" s="1"/>
      <c r="B172" s="232">
        <v>149</v>
      </c>
      <c r="C172" s="233" t="e">
        <f t="shared" si="30"/>
        <v>#NUM!</v>
      </c>
      <c r="D172" s="241" t="e">
        <f t="shared" si="31"/>
        <v>#NUM!</v>
      </c>
      <c r="E172" s="233" t="e">
        <f t="shared" si="32"/>
        <v>#NUM!</v>
      </c>
      <c r="F172" s="233" t="e">
        <f t="shared" si="33"/>
        <v>#NUM!</v>
      </c>
      <c r="G172" s="240"/>
      <c r="H172" s="233" t="e">
        <f t="shared" si="34"/>
        <v>#NUM!</v>
      </c>
      <c r="I172" s="1"/>
      <c r="K172" s="227"/>
      <c r="L172" s="1"/>
      <c r="M172" s="1"/>
      <c r="N172" s="232">
        <v>149</v>
      </c>
      <c r="O172" s="233" t="e">
        <f t="shared" si="35"/>
        <v>#NUM!</v>
      </c>
      <c r="P172" s="241" t="e">
        <f t="shared" si="36"/>
        <v>#NUM!</v>
      </c>
      <c r="Q172" s="233" t="e">
        <f t="shared" si="37"/>
        <v>#NUM!</v>
      </c>
      <c r="R172" s="233" t="e">
        <f t="shared" si="38"/>
        <v>#NUM!</v>
      </c>
      <c r="S172" s="240"/>
      <c r="T172" s="233" t="e">
        <f t="shared" si="39"/>
        <v>#NUM!</v>
      </c>
      <c r="U172" s="226"/>
      <c r="V172" s="226"/>
      <c r="W172" s="226"/>
      <c r="X172" s="230"/>
      <c r="Y172" s="1"/>
    </row>
    <row r="173" spans="1:25" ht="15.75" x14ac:dyDescent="0.3">
      <c r="A173" s="1"/>
      <c r="B173" s="232">
        <v>150</v>
      </c>
      <c r="C173" s="233" t="e">
        <f t="shared" si="30"/>
        <v>#NUM!</v>
      </c>
      <c r="D173" s="241" t="e">
        <f t="shared" si="31"/>
        <v>#NUM!</v>
      </c>
      <c r="E173" s="233" t="e">
        <f t="shared" si="32"/>
        <v>#NUM!</v>
      </c>
      <c r="F173" s="233" t="e">
        <f t="shared" si="33"/>
        <v>#NUM!</v>
      </c>
      <c r="G173" s="240"/>
      <c r="H173" s="233" t="e">
        <f t="shared" si="34"/>
        <v>#NUM!</v>
      </c>
      <c r="I173" s="1"/>
      <c r="K173" s="227"/>
      <c r="L173" s="1"/>
      <c r="M173" s="1"/>
      <c r="N173" s="232">
        <v>150</v>
      </c>
      <c r="O173" s="233" t="e">
        <f t="shared" si="35"/>
        <v>#NUM!</v>
      </c>
      <c r="P173" s="241" t="e">
        <f t="shared" si="36"/>
        <v>#NUM!</v>
      </c>
      <c r="Q173" s="233" t="e">
        <f t="shared" si="37"/>
        <v>#NUM!</v>
      </c>
      <c r="R173" s="233" t="e">
        <f t="shared" si="38"/>
        <v>#NUM!</v>
      </c>
      <c r="S173" s="240"/>
      <c r="T173" s="233" t="e">
        <f t="shared" si="39"/>
        <v>#NUM!</v>
      </c>
      <c r="U173" s="226"/>
      <c r="V173" s="226"/>
      <c r="W173" s="226"/>
      <c r="X173" s="230"/>
      <c r="Y173" s="1"/>
    </row>
    <row r="174" spans="1:25" ht="15.75" x14ac:dyDescent="0.3">
      <c r="A174" s="1"/>
      <c r="B174" s="232">
        <v>151</v>
      </c>
      <c r="C174" s="233" t="e">
        <f t="shared" si="30"/>
        <v>#NUM!</v>
      </c>
      <c r="D174" s="241" t="e">
        <f t="shared" si="31"/>
        <v>#NUM!</v>
      </c>
      <c r="E174" s="233" t="e">
        <f t="shared" si="32"/>
        <v>#NUM!</v>
      </c>
      <c r="F174" s="233" t="e">
        <f t="shared" si="33"/>
        <v>#NUM!</v>
      </c>
      <c r="G174" s="240"/>
      <c r="H174" s="233" t="e">
        <f t="shared" si="34"/>
        <v>#NUM!</v>
      </c>
      <c r="I174" s="1"/>
      <c r="K174" s="227"/>
      <c r="L174" s="1"/>
      <c r="M174" s="1"/>
      <c r="N174" s="232">
        <v>151</v>
      </c>
      <c r="O174" s="233" t="e">
        <f t="shared" si="35"/>
        <v>#NUM!</v>
      </c>
      <c r="P174" s="241" t="e">
        <f t="shared" si="36"/>
        <v>#NUM!</v>
      </c>
      <c r="Q174" s="233" t="e">
        <f t="shared" si="37"/>
        <v>#NUM!</v>
      </c>
      <c r="R174" s="233" t="e">
        <f t="shared" si="38"/>
        <v>#NUM!</v>
      </c>
      <c r="S174" s="240"/>
      <c r="T174" s="233" t="e">
        <f t="shared" si="39"/>
        <v>#NUM!</v>
      </c>
      <c r="U174" s="226"/>
      <c r="V174" s="226"/>
      <c r="W174" s="226"/>
      <c r="X174" s="230"/>
      <c r="Y174" s="1"/>
    </row>
    <row r="175" spans="1:25" ht="15.75" x14ac:dyDescent="0.3">
      <c r="A175" s="1"/>
      <c r="B175" s="232">
        <v>152</v>
      </c>
      <c r="C175" s="233" t="e">
        <f t="shared" si="30"/>
        <v>#NUM!</v>
      </c>
      <c r="D175" s="241" t="e">
        <f t="shared" si="31"/>
        <v>#NUM!</v>
      </c>
      <c r="E175" s="233" t="e">
        <f t="shared" si="32"/>
        <v>#NUM!</v>
      </c>
      <c r="F175" s="233" t="e">
        <f t="shared" si="33"/>
        <v>#NUM!</v>
      </c>
      <c r="G175" s="240"/>
      <c r="H175" s="233" t="e">
        <f t="shared" si="34"/>
        <v>#NUM!</v>
      </c>
      <c r="I175" s="1"/>
      <c r="K175" s="227"/>
      <c r="L175" s="1"/>
      <c r="M175" s="1"/>
      <c r="N175" s="232">
        <v>152</v>
      </c>
      <c r="O175" s="233" t="e">
        <f t="shared" si="35"/>
        <v>#NUM!</v>
      </c>
      <c r="P175" s="241" t="e">
        <f t="shared" si="36"/>
        <v>#NUM!</v>
      </c>
      <c r="Q175" s="233" t="e">
        <f t="shared" si="37"/>
        <v>#NUM!</v>
      </c>
      <c r="R175" s="233" t="e">
        <f t="shared" si="38"/>
        <v>#NUM!</v>
      </c>
      <c r="S175" s="240"/>
      <c r="T175" s="233" t="e">
        <f t="shared" si="39"/>
        <v>#NUM!</v>
      </c>
      <c r="U175" s="226"/>
      <c r="V175" s="226"/>
      <c r="W175" s="226"/>
      <c r="X175" s="230"/>
      <c r="Y175" s="1"/>
    </row>
    <row r="176" spans="1:25" ht="15.75" x14ac:dyDescent="0.3">
      <c r="A176" s="1"/>
      <c r="B176" s="232">
        <v>153</v>
      </c>
      <c r="C176" s="233" t="e">
        <f t="shared" si="30"/>
        <v>#NUM!</v>
      </c>
      <c r="D176" s="241" t="e">
        <f t="shared" si="31"/>
        <v>#NUM!</v>
      </c>
      <c r="E176" s="233" t="e">
        <f t="shared" si="32"/>
        <v>#NUM!</v>
      </c>
      <c r="F176" s="233" t="e">
        <f t="shared" si="33"/>
        <v>#NUM!</v>
      </c>
      <c r="G176" s="240"/>
      <c r="H176" s="233" t="e">
        <f t="shared" si="34"/>
        <v>#NUM!</v>
      </c>
      <c r="I176" s="1"/>
      <c r="K176" s="227"/>
      <c r="L176" s="1"/>
      <c r="M176" s="1"/>
      <c r="N176" s="232">
        <v>153</v>
      </c>
      <c r="O176" s="233" t="e">
        <f t="shared" si="35"/>
        <v>#NUM!</v>
      </c>
      <c r="P176" s="241" t="e">
        <f t="shared" si="36"/>
        <v>#NUM!</v>
      </c>
      <c r="Q176" s="233" t="e">
        <f t="shared" si="37"/>
        <v>#NUM!</v>
      </c>
      <c r="R176" s="233" t="e">
        <f t="shared" si="38"/>
        <v>#NUM!</v>
      </c>
      <c r="S176" s="240"/>
      <c r="T176" s="233" t="e">
        <f t="shared" si="39"/>
        <v>#NUM!</v>
      </c>
      <c r="U176" s="226"/>
      <c r="V176" s="226"/>
      <c r="W176" s="226"/>
      <c r="X176" s="230"/>
      <c r="Y176" s="1"/>
    </row>
    <row r="177" spans="1:25" ht="15.75" x14ac:dyDescent="0.3">
      <c r="A177" s="1"/>
      <c r="B177" s="232">
        <v>154</v>
      </c>
      <c r="C177" s="233" t="e">
        <f t="shared" si="30"/>
        <v>#NUM!</v>
      </c>
      <c r="D177" s="241" t="e">
        <f t="shared" si="31"/>
        <v>#NUM!</v>
      </c>
      <c r="E177" s="233" t="e">
        <f t="shared" si="32"/>
        <v>#NUM!</v>
      </c>
      <c r="F177" s="233" t="e">
        <f t="shared" si="33"/>
        <v>#NUM!</v>
      </c>
      <c r="G177" s="240"/>
      <c r="H177" s="233" t="e">
        <f t="shared" si="34"/>
        <v>#NUM!</v>
      </c>
      <c r="I177" s="1"/>
      <c r="K177" s="227"/>
      <c r="L177" s="1"/>
      <c r="M177" s="1"/>
      <c r="N177" s="232">
        <v>154</v>
      </c>
      <c r="O177" s="233" t="e">
        <f t="shared" si="35"/>
        <v>#NUM!</v>
      </c>
      <c r="P177" s="241" t="e">
        <f t="shared" si="36"/>
        <v>#NUM!</v>
      </c>
      <c r="Q177" s="233" t="e">
        <f t="shared" si="37"/>
        <v>#NUM!</v>
      </c>
      <c r="R177" s="233" t="e">
        <f t="shared" si="38"/>
        <v>#NUM!</v>
      </c>
      <c r="S177" s="240"/>
      <c r="T177" s="233" t="e">
        <f t="shared" si="39"/>
        <v>#NUM!</v>
      </c>
      <c r="U177" s="226"/>
      <c r="V177" s="226"/>
      <c r="W177" s="226"/>
      <c r="X177" s="230"/>
      <c r="Y177" s="1"/>
    </row>
    <row r="178" spans="1:25" ht="15.75" x14ac:dyDescent="0.3">
      <c r="A178" s="1"/>
      <c r="B178" s="232">
        <v>155</v>
      </c>
      <c r="C178" s="233" t="e">
        <f t="shared" si="30"/>
        <v>#NUM!</v>
      </c>
      <c r="D178" s="241" t="e">
        <f t="shared" si="31"/>
        <v>#NUM!</v>
      </c>
      <c r="E178" s="233" t="e">
        <f t="shared" si="32"/>
        <v>#NUM!</v>
      </c>
      <c r="F178" s="233" t="e">
        <f t="shared" si="33"/>
        <v>#NUM!</v>
      </c>
      <c r="G178" s="240"/>
      <c r="H178" s="233" t="e">
        <f t="shared" si="34"/>
        <v>#NUM!</v>
      </c>
      <c r="I178" s="1"/>
      <c r="K178" s="227"/>
      <c r="L178" s="1"/>
      <c r="M178" s="1"/>
      <c r="N178" s="232">
        <v>155</v>
      </c>
      <c r="O178" s="233" t="e">
        <f t="shared" si="35"/>
        <v>#NUM!</v>
      </c>
      <c r="P178" s="241" t="e">
        <f t="shared" si="36"/>
        <v>#NUM!</v>
      </c>
      <c r="Q178" s="233" t="e">
        <f t="shared" si="37"/>
        <v>#NUM!</v>
      </c>
      <c r="R178" s="233" t="e">
        <f t="shared" si="38"/>
        <v>#NUM!</v>
      </c>
      <c r="S178" s="240"/>
      <c r="T178" s="233" t="e">
        <f t="shared" si="39"/>
        <v>#NUM!</v>
      </c>
      <c r="U178" s="226"/>
      <c r="V178" s="226"/>
      <c r="W178" s="226"/>
      <c r="X178" s="230"/>
      <c r="Y178" s="1"/>
    </row>
    <row r="179" spans="1:25" ht="15.75" x14ac:dyDescent="0.3">
      <c r="A179" s="1"/>
      <c r="B179" s="232">
        <v>156</v>
      </c>
      <c r="C179" s="233" t="e">
        <f t="shared" si="30"/>
        <v>#NUM!</v>
      </c>
      <c r="D179" s="241" t="e">
        <f t="shared" si="31"/>
        <v>#NUM!</v>
      </c>
      <c r="E179" s="233" t="e">
        <f t="shared" si="32"/>
        <v>#NUM!</v>
      </c>
      <c r="F179" s="233" t="e">
        <f t="shared" si="33"/>
        <v>#NUM!</v>
      </c>
      <c r="G179" s="240"/>
      <c r="H179" s="233" t="e">
        <f t="shared" si="34"/>
        <v>#NUM!</v>
      </c>
      <c r="I179" s="1"/>
      <c r="K179" s="227"/>
      <c r="L179" s="1"/>
      <c r="M179" s="1"/>
      <c r="N179" s="232">
        <v>156</v>
      </c>
      <c r="O179" s="233" t="e">
        <f t="shared" si="35"/>
        <v>#NUM!</v>
      </c>
      <c r="P179" s="241" t="e">
        <f t="shared" si="36"/>
        <v>#NUM!</v>
      </c>
      <c r="Q179" s="233" t="e">
        <f t="shared" si="37"/>
        <v>#NUM!</v>
      </c>
      <c r="R179" s="233" t="e">
        <f t="shared" si="38"/>
        <v>#NUM!</v>
      </c>
      <c r="S179" s="240"/>
      <c r="T179" s="233" t="e">
        <f t="shared" si="39"/>
        <v>#NUM!</v>
      </c>
      <c r="U179" s="226"/>
      <c r="V179" s="226"/>
      <c r="W179" s="226"/>
      <c r="X179" s="230"/>
      <c r="Y179" s="1"/>
    </row>
    <row r="180" spans="1:25" ht="15.75" x14ac:dyDescent="0.3">
      <c r="A180" s="1"/>
      <c r="B180" s="232">
        <v>157</v>
      </c>
      <c r="C180" s="233" t="e">
        <f t="shared" si="30"/>
        <v>#NUM!</v>
      </c>
      <c r="D180" s="241" t="e">
        <f t="shared" si="31"/>
        <v>#NUM!</v>
      </c>
      <c r="E180" s="233" t="e">
        <f t="shared" si="32"/>
        <v>#NUM!</v>
      </c>
      <c r="F180" s="233" t="e">
        <f t="shared" si="33"/>
        <v>#NUM!</v>
      </c>
      <c r="G180" s="240"/>
      <c r="H180" s="233" t="e">
        <f t="shared" si="34"/>
        <v>#NUM!</v>
      </c>
      <c r="I180" s="1"/>
      <c r="K180" s="227"/>
      <c r="L180" s="1"/>
      <c r="M180" s="1"/>
      <c r="N180" s="232">
        <v>157</v>
      </c>
      <c r="O180" s="233" t="e">
        <f t="shared" si="35"/>
        <v>#NUM!</v>
      </c>
      <c r="P180" s="241" t="e">
        <f t="shared" si="36"/>
        <v>#NUM!</v>
      </c>
      <c r="Q180" s="233" t="e">
        <f t="shared" si="37"/>
        <v>#NUM!</v>
      </c>
      <c r="R180" s="233" t="e">
        <f t="shared" si="38"/>
        <v>#NUM!</v>
      </c>
      <c r="S180" s="240"/>
      <c r="T180" s="233" t="e">
        <f t="shared" si="39"/>
        <v>#NUM!</v>
      </c>
      <c r="U180" s="226"/>
      <c r="V180" s="226"/>
      <c r="W180" s="226"/>
      <c r="X180" s="230"/>
      <c r="Y180" s="1"/>
    </row>
    <row r="181" spans="1:25" ht="15.75" x14ac:dyDescent="0.3">
      <c r="A181" s="1"/>
      <c r="B181" s="232">
        <v>158</v>
      </c>
      <c r="C181" s="233" t="e">
        <f t="shared" si="30"/>
        <v>#NUM!</v>
      </c>
      <c r="D181" s="241" t="e">
        <f t="shared" si="31"/>
        <v>#NUM!</v>
      </c>
      <c r="E181" s="233" t="e">
        <f t="shared" si="32"/>
        <v>#NUM!</v>
      </c>
      <c r="F181" s="233" t="e">
        <f t="shared" si="33"/>
        <v>#NUM!</v>
      </c>
      <c r="G181" s="240"/>
      <c r="H181" s="233" t="e">
        <f t="shared" si="34"/>
        <v>#NUM!</v>
      </c>
      <c r="I181" s="1"/>
      <c r="K181" s="227"/>
      <c r="L181" s="1"/>
      <c r="M181" s="1"/>
      <c r="N181" s="232">
        <v>158</v>
      </c>
      <c r="O181" s="233" t="e">
        <f t="shared" si="35"/>
        <v>#NUM!</v>
      </c>
      <c r="P181" s="241" t="e">
        <f t="shared" si="36"/>
        <v>#NUM!</v>
      </c>
      <c r="Q181" s="233" t="e">
        <f t="shared" si="37"/>
        <v>#NUM!</v>
      </c>
      <c r="R181" s="233" t="e">
        <f t="shared" si="38"/>
        <v>#NUM!</v>
      </c>
      <c r="S181" s="240"/>
      <c r="T181" s="233" t="e">
        <f t="shared" si="39"/>
        <v>#NUM!</v>
      </c>
      <c r="U181" s="226"/>
      <c r="V181" s="226"/>
      <c r="W181" s="226"/>
      <c r="X181" s="230"/>
      <c r="Y181" s="1"/>
    </row>
    <row r="182" spans="1:25" ht="15.75" x14ac:dyDescent="0.3">
      <c r="A182" s="1"/>
      <c r="B182" s="232">
        <v>159</v>
      </c>
      <c r="C182" s="233" t="e">
        <f t="shared" si="30"/>
        <v>#NUM!</v>
      </c>
      <c r="D182" s="241" t="e">
        <f t="shared" si="31"/>
        <v>#NUM!</v>
      </c>
      <c r="E182" s="233" t="e">
        <f t="shared" si="32"/>
        <v>#NUM!</v>
      </c>
      <c r="F182" s="233" t="e">
        <f t="shared" si="33"/>
        <v>#NUM!</v>
      </c>
      <c r="G182" s="240"/>
      <c r="H182" s="233" t="e">
        <f t="shared" si="34"/>
        <v>#NUM!</v>
      </c>
      <c r="I182" s="1"/>
      <c r="K182" s="227"/>
      <c r="L182" s="1"/>
      <c r="M182" s="1"/>
      <c r="N182" s="232">
        <v>159</v>
      </c>
      <c r="O182" s="233" t="e">
        <f t="shared" si="35"/>
        <v>#NUM!</v>
      </c>
      <c r="P182" s="241" t="e">
        <f t="shared" si="36"/>
        <v>#NUM!</v>
      </c>
      <c r="Q182" s="233" t="e">
        <f t="shared" si="37"/>
        <v>#NUM!</v>
      </c>
      <c r="R182" s="233" t="e">
        <f t="shared" si="38"/>
        <v>#NUM!</v>
      </c>
      <c r="S182" s="240"/>
      <c r="T182" s="233" t="e">
        <f t="shared" si="39"/>
        <v>#NUM!</v>
      </c>
      <c r="U182" s="226"/>
      <c r="V182" s="226"/>
      <c r="W182" s="226"/>
      <c r="X182" s="230"/>
      <c r="Y182" s="1"/>
    </row>
    <row r="183" spans="1:25" ht="15.75" x14ac:dyDescent="0.3">
      <c r="A183" s="1"/>
      <c r="B183" s="232">
        <v>160</v>
      </c>
      <c r="C183" s="233" t="e">
        <f t="shared" si="30"/>
        <v>#NUM!</v>
      </c>
      <c r="D183" s="241" t="e">
        <f t="shared" si="31"/>
        <v>#NUM!</v>
      </c>
      <c r="E183" s="233" t="e">
        <f t="shared" si="32"/>
        <v>#NUM!</v>
      </c>
      <c r="F183" s="233" t="e">
        <f t="shared" si="33"/>
        <v>#NUM!</v>
      </c>
      <c r="G183" s="240"/>
      <c r="H183" s="233" t="e">
        <f t="shared" si="34"/>
        <v>#NUM!</v>
      </c>
      <c r="I183" s="1"/>
      <c r="K183" s="227"/>
      <c r="L183" s="1"/>
      <c r="M183" s="1"/>
      <c r="N183" s="232">
        <v>160</v>
      </c>
      <c r="O183" s="233" t="e">
        <f t="shared" si="35"/>
        <v>#NUM!</v>
      </c>
      <c r="P183" s="241" t="e">
        <f t="shared" si="36"/>
        <v>#NUM!</v>
      </c>
      <c r="Q183" s="233" t="e">
        <f t="shared" si="37"/>
        <v>#NUM!</v>
      </c>
      <c r="R183" s="233" t="e">
        <f t="shared" si="38"/>
        <v>#NUM!</v>
      </c>
      <c r="S183" s="240"/>
      <c r="T183" s="233" t="e">
        <f t="shared" si="39"/>
        <v>#NUM!</v>
      </c>
      <c r="U183" s="226"/>
      <c r="V183" s="226"/>
      <c r="W183" s="226"/>
      <c r="X183" s="230"/>
      <c r="Y183" s="1"/>
    </row>
    <row r="184" spans="1:25" ht="15.75" x14ac:dyDescent="0.3">
      <c r="A184" s="1"/>
      <c r="B184" s="232">
        <v>161</v>
      </c>
      <c r="C184" s="233" t="e">
        <f t="shared" si="30"/>
        <v>#NUM!</v>
      </c>
      <c r="D184" s="241" t="e">
        <f t="shared" si="31"/>
        <v>#NUM!</v>
      </c>
      <c r="E184" s="233" t="e">
        <f t="shared" si="32"/>
        <v>#NUM!</v>
      </c>
      <c r="F184" s="233" t="e">
        <f t="shared" si="33"/>
        <v>#NUM!</v>
      </c>
      <c r="G184" s="240"/>
      <c r="H184" s="233" t="e">
        <f t="shared" si="34"/>
        <v>#NUM!</v>
      </c>
      <c r="I184" s="1"/>
      <c r="K184" s="227"/>
      <c r="L184" s="1"/>
      <c r="M184" s="1"/>
      <c r="N184" s="232">
        <v>161</v>
      </c>
      <c r="O184" s="233" t="e">
        <f t="shared" si="35"/>
        <v>#NUM!</v>
      </c>
      <c r="P184" s="241" t="e">
        <f t="shared" si="36"/>
        <v>#NUM!</v>
      </c>
      <c r="Q184" s="233" t="e">
        <f t="shared" si="37"/>
        <v>#NUM!</v>
      </c>
      <c r="R184" s="233" t="e">
        <f t="shared" si="38"/>
        <v>#NUM!</v>
      </c>
      <c r="S184" s="240"/>
      <c r="T184" s="233" t="e">
        <f t="shared" si="39"/>
        <v>#NUM!</v>
      </c>
      <c r="U184" s="226"/>
      <c r="V184" s="226"/>
      <c r="W184" s="226"/>
      <c r="X184" s="230"/>
      <c r="Y184" s="1"/>
    </row>
    <row r="185" spans="1:25" ht="15.75" x14ac:dyDescent="0.3">
      <c r="A185" s="1"/>
      <c r="B185" s="232">
        <v>162</v>
      </c>
      <c r="C185" s="233" t="e">
        <f t="shared" si="30"/>
        <v>#NUM!</v>
      </c>
      <c r="D185" s="241" t="e">
        <f t="shared" si="31"/>
        <v>#NUM!</v>
      </c>
      <c r="E185" s="233" t="e">
        <f t="shared" si="32"/>
        <v>#NUM!</v>
      </c>
      <c r="F185" s="233" t="e">
        <f t="shared" si="33"/>
        <v>#NUM!</v>
      </c>
      <c r="G185" s="240"/>
      <c r="H185" s="233" t="e">
        <f t="shared" si="34"/>
        <v>#NUM!</v>
      </c>
      <c r="I185" s="1"/>
      <c r="K185" s="227"/>
      <c r="L185" s="1"/>
      <c r="M185" s="1"/>
      <c r="N185" s="232">
        <v>162</v>
      </c>
      <c r="O185" s="233" t="e">
        <f t="shared" si="35"/>
        <v>#NUM!</v>
      </c>
      <c r="P185" s="241" t="e">
        <f t="shared" si="36"/>
        <v>#NUM!</v>
      </c>
      <c r="Q185" s="233" t="e">
        <f t="shared" si="37"/>
        <v>#NUM!</v>
      </c>
      <c r="R185" s="233" t="e">
        <f t="shared" si="38"/>
        <v>#NUM!</v>
      </c>
      <c r="S185" s="240"/>
      <c r="T185" s="233" t="e">
        <f t="shared" si="39"/>
        <v>#NUM!</v>
      </c>
      <c r="U185" s="226"/>
      <c r="V185" s="226"/>
      <c r="W185" s="226"/>
      <c r="X185" s="230"/>
      <c r="Y185" s="1"/>
    </row>
    <row r="186" spans="1:25" ht="15.75" x14ac:dyDescent="0.3">
      <c r="A186" s="1"/>
      <c r="B186" s="232">
        <v>163</v>
      </c>
      <c r="C186" s="233" t="e">
        <f t="shared" si="30"/>
        <v>#NUM!</v>
      </c>
      <c r="D186" s="241" t="e">
        <f t="shared" si="31"/>
        <v>#NUM!</v>
      </c>
      <c r="E186" s="233" t="e">
        <f t="shared" si="32"/>
        <v>#NUM!</v>
      </c>
      <c r="F186" s="233" t="e">
        <f t="shared" si="33"/>
        <v>#NUM!</v>
      </c>
      <c r="G186" s="240"/>
      <c r="H186" s="233" t="e">
        <f t="shared" si="34"/>
        <v>#NUM!</v>
      </c>
      <c r="I186" s="1"/>
      <c r="K186" s="227"/>
      <c r="L186" s="1"/>
      <c r="M186" s="1"/>
      <c r="N186" s="232">
        <v>163</v>
      </c>
      <c r="O186" s="233" t="e">
        <f t="shared" si="35"/>
        <v>#NUM!</v>
      </c>
      <c r="P186" s="241" t="e">
        <f t="shared" si="36"/>
        <v>#NUM!</v>
      </c>
      <c r="Q186" s="233" t="e">
        <f t="shared" si="37"/>
        <v>#NUM!</v>
      </c>
      <c r="R186" s="233" t="e">
        <f t="shared" si="38"/>
        <v>#NUM!</v>
      </c>
      <c r="S186" s="240"/>
      <c r="T186" s="233" t="e">
        <f t="shared" si="39"/>
        <v>#NUM!</v>
      </c>
      <c r="U186" s="226"/>
      <c r="V186" s="226"/>
      <c r="W186" s="226"/>
      <c r="X186" s="230"/>
      <c r="Y186" s="1"/>
    </row>
    <row r="187" spans="1:25" ht="15.75" x14ac:dyDescent="0.3">
      <c r="A187" s="1"/>
      <c r="B187" s="232">
        <v>164</v>
      </c>
      <c r="C187" s="233" t="e">
        <f t="shared" si="30"/>
        <v>#NUM!</v>
      </c>
      <c r="D187" s="241" t="e">
        <f t="shared" si="31"/>
        <v>#NUM!</v>
      </c>
      <c r="E187" s="233" t="e">
        <f t="shared" si="32"/>
        <v>#NUM!</v>
      </c>
      <c r="F187" s="233" t="e">
        <f t="shared" si="33"/>
        <v>#NUM!</v>
      </c>
      <c r="G187" s="240"/>
      <c r="H187" s="233" t="e">
        <f t="shared" si="34"/>
        <v>#NUM!</v>
      </c>
      <c r="I187" s="1"/>
      <c r="K187" s="227"/>
      <c r="L187" s="1"/>
      <c r="M187" s="1"/>
      <c r="N187" s="232">
        <v>164</v>
      </c>
      <c r="O187" s="233" t="e">
        <f t="shared" si="35"/>
        <v>#NUM!</v>
      </c>
      <c r="P187" s="241" t="e">
        <f t="shared" si="36"/>
        <v>#NUM!</v>
      </c>
      <c r="Q187" s="233" t="e">
        <f t="shared" si="37"/>
        <v>#NUM!</v>
      </c>
      <c r="R187" s="233" t="e">
        <f t="shared" si="38"/>
        <v>#NUM!</v>
      </c>
      <c r="S187" s="240"/>
      <c r="T187" s="233" t="e">
        <f t="shared" si="39"/>
        <v>#NUM!</v>
      </c>
      <c r="U187" s="226"/>
      <c r="V187" s="226"/>
      <c r="W187" s="226"/>
      <c r="X187" s="230"/>
      <c r="Y187" s="1"/>
    </row>
    <row r="188" spans="1:25" ht="15.75" x14ac:dyDescent="0.3">
      <c r="A188" s="1"/>
      <c r="B188" s="232">
        <v>165</v>
      </c>
      <c r="C188" s="233" t="e">
        <f t="shared" si="30"/>
        <v>#NUM!</v>
      </c>
      <c r="D188" s="241" t="e">
        <f t="shared" si="31"/>
        <v>#NUM!</v>
      </c>
      <c r="E188" s="233" t="e">
        <f t="shared" si="32"/>
        <v>#NUM!</v>
      </c>
      <c r="F188" s="233" t="e">
        <f t="shared" si="33"/>
        <v>#NUM!</v>
      </c>
      <c r="G188" s="240"/>
      <c r="H188" s="233" t="e">
        <f t="shared" si="34"/>
        <v>#NUM!</v>
      </c>
      <c r="I188" s="1"/>
      <c r="K188" s="227"/>
      <c r="L188" s="1"/>
      <c r="M188" s="1"/>
      <c r="N188" s="232">
        <v>165</v>
      </c>
      <c r="O188" s="233" t="e">
        <f t="shared" si="35"/>
        <v>#NUM!</v>
      </c>
      <c r="P188" s="241" t="e">
        <f t="shared" si="36"/>
        <v>#NUM!</v>
      </c>
      <c r="Q188" s="233" t="e">
        <f t="shared" si="37"/>
        <v>#NUM!</v>
      </c>
      <c r="R188" s="233" t="e">
        <f t="shared" si="38"/>
        <v>#NUM!</v>
      </c>
      <c r="S188" s="240"/>
      <c r="T188" s="233" t="e">
        <f t="shared" si="39"/>
        <v>#NUM!</v>
      </c>
      <c r="U188" s="226"/>
      <c r="V188" s="226"/>
      <c r="W188" s="226"/>
      <c r="X188" s="230"/>
      <c r="Y188" s="1"/>
    </row>
    <row r="189" spans="1:25" ht="15.75" x14ac:dyDescent="0.3">
      <c r="A189" s="1"/>
      <c r="B189" s="232">
        <v>166</v>
      </c>
      <c r="C189" s="233" t="e">
        <f t="shared" si="30"/>
        <v>#NUM!</v>
      </c>
      <c r="D189" s="241" t="e">
        <f t="shared" si="31"/>
        <v>#NUM!</v>
      </c>
      <c r="E189" s="233" t="e">
        <f t="shared" si="32"/>
        <v>#NUM!</v>
      </c>
      <c r="F189" s="233" t="e">
        <f t="shared" si="33"/>
        <v>#NUM!</v>
      </c>
      <c r="G189" s="240"/>
      <c r="H189" s="233" t="e">
        <f t="shared" si="34"/>
        <v>#NUM!</v>
      </c>
      <c r="I189" s="1"/>
      <c r="K189" s="227"/>
      <c r="L189" s="1"/>
      <c r="M189" s="1"/>
      <c r="N189" s="232">
        <v>166</v>
      </c>
      <c r="O189" s="233" t="e">
        <f t="shared" si="35"/>
        <v>#NUM!</v>
      </c>
      <c r="P189" s="241" t="e">
        <f t="shared" si="36"/>
        <v>#NUM!</v>
      </c>
      <c r="Q189" s="233" t="e">
        <f t="shared" si="37"/>
        <v>#NUM!</v>
      </c>
      <c r="R189" s="233" t="e">
        <f t="shared" si="38"/>
        <v>#NUM!</v>
      </c>
      <c r="S189" s="240"/>
      <c r="T189" s="233" t="e">
        <f t="shared" si="39"/>
        <v>#NUM!</v>
      </c>
      <c r="U189" s="226"/>
      <c r="V189" s="226"/>
      <c r="W189" s="226"/>
      <c r="X189" s="230"/>
      <c r="Y189" s="1"/>
    </row>
    <row r="190" spans="1:25" ht="15.75" x14ac:dyDescent="0.3">
      <c r="A190" s="1"/>
      <c r="B190" s="232">
        <v>167</v>
      </c>
      <c r="C190" s="233" t="e">
        <f t="shared" si="30"/>
        <v>#NUM!</v>
      </c>
      <c r="D190" s="241" t="e">
        <f t="shared" si="31"/>
        <v>#NUM!</v>
      </c>
      <c r="E190" s="233" t="e">
        <f t="shared" si="32"/>
        <v>#NUM!</v>
      </c>
      <c r="F190" s="233" t="e">
        <f t="shared" si="33"/>
        <v>#NUM!</v>
      </c>
      <c r="G190" s="240"/>
      <c r="H190" s="233" t="e">
        <f t="shared" si="34"/>
        <v>#NUM!</v>
      </c>
      <c r="I190" s="1"/>
      <c r="K190" s="227"/>
      <c r="L190" s="1"/>
      <c r="M190" s="1"/>
      <c r="N190" s="232">
        <v>167</v>
      </c>
      <c r="O190" s="233" t="e">
        <f t="shared" si="35"/>
        <v>#NUM!</v>
      </c>
      <c r="P190" s="241" t="e">
        <f t="shared" si="36"/>
        <v>#NUM!</v>
      </c>
      <c r="Q190" s="233" t="e">
        <f t="shared" si="37"/>
        <v>#NUM!</v>
      </c>
      <c r="R190" s="233" t="e">
        <f t="shared" si="38"/>
        <v>#NUM!</v>
      </c>
      <c r="S190" s="240"/>
      <c r="T190" s="233" t="e">
        <f t="shared" si="39"/>
        <v>#NUM!</v>
      </c>
      <c r="U190" s="226"/>
      <c r="V190" s="226"/>
      <c r="W190" s="226"/>
      <c r="X190" s="230"/>
      <c r="Y190" s="1"/>
    </row>
    <row r="191" spans="1:25" ht="15.75" x14ac:dyDescent="0.3">
      <c r="A191" s="1"/>
      <c r="B191" s="232">
        <v>168</v>
      </c>
      <c r="C191" s="233" t="e">
        <f t="shared" si="30"/>
        <v>#NUM!</v>
      </c>
      <c r="D191" s="241" t="e">
        <f t="shared" si="31"/>
        <v>#NUM!</v>
      </c>
      <c r="E191" s="233" t="e">
        <f t="shared" si="32"/>
        <v>#NUM!</v>
      </c>
      <c r="F191" s="233" t="e">
        <f t="shared" si="33"/>
        <v>#NUM!</v>
      </c>
      <c r="G191" s="240"/>
      <c r="H191" s="233" t="e">
        <f t="shared" si="34"/>
        <v>#NUM!</v>
      </c>
      <c r="I191" s="1"/>
      <c r="K191" s="227"/>
      <c r="L191" s="1"/>
      <c r="M191" s="1"/>
      <c r="N191" s="232">
        <v>168</v>
      </c>
      <c r="O191" s="233" t="e">
        <f t="shared" si="35"/>
        <v>#NUM!</v>
      </c>
      <c r="P191" s="241" t="e">
        <f t="shared" si="36"/>
        <v>#NUM!</v>
      </c>
      <c r="Q191" s="233" t="e">
        <f t="shared" si="37"/>
        <v>#NUM!</v>
      </c>
      <c r="R191" s="233" t="e">
        <f t="shared" si="38"/>
        <v>#NUM!</v>
      </c>
      <c r="S191" s="240"/>
      <c r="T191" s="233" t="e">
        <f t="shared" si="39"/>
        <v>#NUM!</v>
      </c>
      <c r="U191" s="226"/>
      <c r="V191" s="226"/>
      <c r="W191" s="226"/>
      <c r="X191" s="230"/>
      <c r="Y191" s="1"/>
    </row>
    <row r="192" spans="1:25" ht="15.75" x14ac:dyDescent="0.3">
      <c r="A192" s="1"/>
      <c r="B192" s="232">
        <v>169</v>
      </c>
      <c r="C192" s="233" t="e">
        <f t="shared" si="30"/>
        <v>#NUM!</v>
      </c>
      <c r="D192" s="241" t="e">
        <f t="shared" si="31"/>
        <v>#NUM!</v>
      </c>
      <c r="E192" s="233" t="e">
        <f t="shared" si="32"/>
        <v>#NUM!</v>
      </c>
      <c r="F192" s="233" t="e">
        <f t="shared" si="33"/>
        <v>#NUM!</v>
      </c>
      <c r="G192" s="240"/>
      <c r="H192" s="233" t="e">
        <f t="shared" si="34"/>
        <v>#NUM!</v>
      </c>
      <c r="I192" s="1"/>
      <c r="K192" s="227"/>
      <c r="L192" s="1"/>
      <c r="M192" s="1"/>
      <c r="N192" s="232">
        <v>169</v>
      </c>
      <c r="O192" s="233" t="e">
        <f t="shared" si="35"/>
        <v>#NUM!</v>
      </c>
      <c r="P192" s="241" t="e">
        <f t="shared" si="36"/>
        <v>#NUM!</v>
      </c>
      <c r="Q192" s="233" t="e">
        <f t="shared" si="37"/>
        <v>#NUM!</v>
      </c>
      <c r="R192" s="233" t="e">
        <f t="shared" si="38"/>
        <v>#NUM!</v>
      </c>
      <c r="S192" s="240"/>
      <c r="T192" s="233" t="e">
        <f t="shared" si="39"/>
        <v>#NUM!</v>
      </c>
      <c r="U192" s="226"/>
      <c r="V192" s="226"/>
      <c r="W192" s="226"/>
      <c r="X192" s="230"/>
      <c r="Y192" s="1"/>
    </row>
    <row r="193" spans="1:25" ht="15.75" x14ac:dyDescent="0.3">
      <c r="A193" s="1"/>
      <c r="B193" s="232">
        <v>170</v>
      </c>
      <c r="C193" s="233" t="e">
        <f t="shared" si="30"/>
        <v>#NUM!</v>
      </c>
      <c r="D193" s="241" t="e">
        <f t="shared" si="31"/>
        <v>#NUM!</v>
      </c>
      <c r="E193" s="233" t="e">
        <f t="shared" si="32"/>
        <v>#NUM!</v>
      </c>
      <c r="F193" s="233" t="e">
        <f t="shared" si="33"/>
        <v>#NUM!</v>
      </c>
      <c r="G193" s="240"/>
      <c r="H193" s="233" t="e">
        <f t="shared" si="34"/>
        <v>#NUM!</v>
      </c>
      <c r="I193" s="1"/>
      <c r="K193" s="227"/>
      <c r="L193" s="1"/>
      <c r="M193" s="1"/>
      <c r="N193" s="232">
        <v>170</v>
      </c>
      <c r="O193" s="233" t="e">
        <f t="shared" si="35"/>
        <v>#NUM!</v>
      </c>
      <c r="P193" s="241" t="e">
        <f t="shared" si="36"/>
        <v>#NUM!</v>
      </c>
      <c r="Q193" s="233" t="e">
        <f t="shared" si="37"/>
        <v>#NUM!</v>
      </c>
      <c r="R193" s="233" t="e">
        <f t="shared" si="38"/>
        <v>#NUM!</v>
      </c>
      <c r="S193" s="240"/>
      <c r="T193" s="233" t="e">
        <f t="shared" si="39"/>
        <v>#NUM!</v>
      </c>
      <c r="U193" s="226"/>
      <c r="V193" s="226"/>
      <c r="W193" s="226"/>
      <c r="X193" s="230"/>
      <c r="Y193" s="1"/>
    </row>
    <row r="194" spans="1:25" ht="15.75" x14ac:dyDescent="0.3">
      <c r="A194" s="1"/>
      <c r="B194" s="232">
        <v>171</v>
      </c>
      <c r="C194" s="233" t="e">
        <f t="shared" si="30"/>
        <v>#NUM!</v>
      </c>
      <c r="D194" s="241" t="e">
        <f t="shared" si="31"/>
        <v>#NUM!</v>
      </c>
      <c r="E194" s="233" t="e">
        <f t="shared" si="32"/>
        <v>#NUM!</v>
      </c>
      <c r="F194" s="233" t="e">
        <f t="shared" si="33"/>
        <v>#NUM!</v>
      </c>
      <c r="G194" s="240"/>
      <c r="H194" s="233" t="e">
        <f t="shared" si="34"/>
        <v>#NUM!</v>
      </c>
      <c r="I194" s="1"/>
      <c r="K194" s="227"/>
      <c r="L194" s="1"/>
      <c r="M194" s="1"/>
      <c r="N194" s="232">
        <v>171</v>
      </c>
      <c r="O194" s="233" t="e">
        <f t="shared" si="35"/>
        <v>#NUM!</v>
      </c>
      <c r="P194" s="241" t="e">
        <f t="shared" si="36"/>
        <v>#NUM!</v>
      </c>
      <c r="Q194" s="233" t="e">
        <f t="shared" si="37"/>
        <v>#NUM!</v>
      </c>
      <c r="R194" s="233" t="e">
        <f t="shared" si="38"/>
        <v>#NUM!</v>
      </c>
      <c r="S194" s="240"/>
      <c r="T194" s="233" t="e">
        <f t="shared" si="39"/>
        <v>#NUM!</v>
      </c>
      <c r="U194" s="226"/>
      <c r="V194" s="226"/>
      <c r="W194" s="226"/>
      <c r="X194" s="230"/>
      <c r="Y194" s="1"/>
    </row>
    <row r="195" spans="1:25" ht="15.75" x14ac:dyDescent="0.3">
      <c r="A195" s="1"/>
      <c r="B195" s="232">
        <v>172</v>
      </c>
      <c r="C195" s="233" t="e">
        <f t="shared" si="30"/>
        <v>#NUM!</v>
      </c>
      <c r="D195" s="241" t="e">
        <f t="shared" si="31"/>
        <v>#NUM!</v>
      </c>
      <c r="E195" s="233" t="e">
        <f t="shared" si="32"/>
        <v>#NUM!</v>
      </c>
      <c r="F195" s="233" t="e">
        <f t="shared" si="33"/>
        <v>#NUM!</v>
      </c>
      <c r="G195" s="240"/>
      <c r="H195" s="233" t="e">
        <f t="shared" si="34"/>
        <v>#NUM!</v>
      </c>
      <c r="I195" s="1"/>
      <c r="K195" s="227"/>
      <c r="L195" s="1"/>
      <c r="M195" s="1"/>
      <c r="N195" s="232">
        <v>172</v>
      </c>
      <c r="O195" s="233" t="e">
        <f t="shared" si="35"/>
        <v>#NUM!</v>
      </c>
      <c r="P195" s="241" t="e">
        <f t="shared" si="36"/>
        <v>#NUM!</v>
      </c>
      <c r="Q195" s="233" t="e">
        <f t="shared" si="37"/>
        <v>#NUM!</v>
      </c>
      <c r="R195" s="233" t="e">
        <f t="shared" si="38"/>
        <v>#NUM!</v>
      </c>
      <c r="S195" s="240"/>
      <c r="T195" s="233" t="e">
        <f t="shared" si="39"/>
        <v>#NUM!</v>
      </c>
      <c r="U195" s="226"/>
      <c r="V195" s="226"/>
      <c r="W195" s="226"/>
      <c r="X195" s="230"/>
      <c r="Y195" s="1"/>
    </row>
    <row r="196" spans="1:25" ht="15.75" x14ac:dyDescent="0.3">
      <c r="A196" s="1"/>
      <c r="B196" s="232">
        <v>173</v>
      </c>
      <c r="C196" s="233" t="e">
        <f t="shared" si="30"/>
        <v>#NUM!</v>
      </c>
      <c r="D196" s="241" t="e">
        <f t="shared" si="31"/>
        <v>#NUM!</v>
      </c>
      <c r="E196" s="233" t="e">
        <f t="shared" si="32"/>
        <v>#NUM!</v>
      </c>
      <c r="F196" s="233" t="e">
        <f t="shared" si="33"/>
        <v>#NUM!</v>
      </c>
      <c r="G196" s="240"/>
      <c r="H196" s="233" t="e">
        <f t="shared" si="34"/>
        <v>#NUM!</v>
      </c>
      <c r="I196" s="1"/>
      <c r="K196" s="227"/>
      <c r="L196" s="1"/>
      <c r="M196" s="1"/>
      <c r="N196" s="232">
        <v>173</v>
      </c>
      <c r="O196" s="233" t="e">
        <f t="shared" si="35"/>
        <v>#NUM!</v>
      </c>
      <c r="P196" s="241" t="e">
        <f t="shared" si="36"/>
        <v>#NUM!</v>
      </c>
      <c r="Q196" s="233" t="e">
        <f t="shared" si="37"/>
        <v>#NUM!</v>
      </c>
      <c r="R196" s="233" t="e">
        <f t="shared" si="38"/>
        <v>#NUM!</v>
      </c>
      <c r="S196" s="240"/>
      <c r="T196" s="233" t="e">
        <f t="shared" si="39"/>
        <v>#NUM!</v>
      </c>
      <c r="U196" s="226"/>
      <c r="V196" s="226"/>
      <c r="W196" s="226"/>
      <c r="X196" s="230"/>
      <c r="Y196" s="1"/>
    </row>
    <row r="197" spans="1:25" ht="15.75" x14ac:dyDescent="0.3">
      <c r="A197" s="1"/>
      <c r="B197" s="232">
        <v>174</v>
      </c>
      <c r="C197" s="233" t="e">
        <f t="shared" si="30"/>
        <v>#NUM!</v>
      </c>
      <c r="D197" s="241" t="e">
        <f t="shared" si="31"/>
        <v>#NUM!</v>
      </c>
      <c r="E197" s="233" t="e">
        <f t="shared" si="32"/>
        <v>#NUM!</v>
      </c>
      <c r="F197" s="233" t="e">
        <f t="shared" si="33"/>
        <v>#NUM!</v>
      </c>
      <c r="G197" s="240"/>
      <c r="H197" s="233" t="e">
        <f t="shared" si="34"/>
        <v>#NUM!</v>
      </c>
      <c r="I197" s="1"/>
      <c r="K197" s="227"/>
      <c r="L197" s="1"/>
      <c r="M197" s="1"/>
      <c r="N197" s="232">
        <v>174</v>
      </c>
      <c r="O197" s="233" t="e">
        <f t="shared" si="35"/>
        <v>#NUM!</v>
      </c>
      <c r="P197" s="241" t="e">
        <f t="shared" si="36"/>
        <v>#NUM!</v>
      </c>
      <c r="Q197" s="233" t="e">
        <f t="shared" si="37"/>
        <v>#NUM!</v>
      </c>
      <c r="R197" s="233" t="e">
        <f t="shared" si="38"/>
        <v>#NUM!</v>
      </c>
      <c r="S197" s="240"/>
      <c r="T197" s="233" t="e">
        <f t="shared" si="39"/>
        <v>#NUM!</v>
      </c>
      <c r="U197" s="226"/>
      <c r="V197" s="226"/>
      <c r="W197" s="226"/>
      <c r="X197" s="230"/>
      <c r="Y197" s="1"/>
    </row>
    <row r="198" spans="1:25" ht="15.75" x14ac:dyDescent="0.3">
      <c r="A198" s="1"/>
      <c r="B198" s="232">
        <v>175</v>
      </c>
      <c r="C198" s="233" t="e">
        <f t="shared" si="30"/>
        <v>#NUM!</v>
      </c>
      <c r="D198" s="241" t="e">
        <f t="shared" si="31"/>
        <v>#NUM!</v>
      </c>
      <c r="E198" s="233" t="e">
        <f t="shared" si="32"/>
        <v>#NUM!</v>
      </c>
      <c r="F198" s="233" t="e">
        <f t="shared" si="33"/>
        <v>#NUM!</v>
      </c>
      <c r="G198" s="240"/>
      <c r="H198" s="233" t="e">
        <f t="shared" si="34"/>
        <v>#NUM!</v>
      </c>
      <c r="I198" s="1"/>
      <c r="K198" s="227"/>
      <c r="L198" s="1"/>
      <c r="M198" s="1"/>
      <c r="N198" s="232">
        <v>175</v>
      </c>
      <c r="O198" s="233" t="e">
        <f t="shared" si="35"/>
        <v>#NUM!</v>
      </c>
      <c r="P198" s="241" t="e">
        <f t="shared" si="36"/>
        <v>#NUM!</v>
      </c>
      <c r="Q198" s="233" t="e">
        <f t="shared" si="37"/>
        <v>#NUM!</v>
      </c>
      <c r="R198" s="233" t="e">
        <f t="shared" si="38"/>
        <v>#NUM!</v>
      </c>
      <c r="S198" s="240"/>
      <c r="T198" s="233" t="e">
        <f t="shared" si="39"/>
        <v>#NUM!</v>
      </c>
      <c r="U198" s="226"/>
      <c r="V198" s="226"/>
      <c r="W198" s="226"/>
      <c r="X198" s="230"/>
      <c r="Y198" s="1"/>
    </row>
    <row r="199" spans="1:25" ht="15.75" x14ac:dyDescent="0.3">
      <c r="A199" s="1"/>
      <c r="B199" s="232">
        <v>176</v>
      </c>
      <c r="C199" s="233" t="e">
        <f t="shared" si="30"/>
        <v>#NUM!</v>
      </c>
      <c r="D199" s="241" t="e">
        <f t="shared" si="31"/>
        <v>#NUM!</v>
      </c>
      <c r="E199" s="233" t="e">
        <f t="shared" si="32"/>
        <v>#NUM!</v>
      </c>
      <c r="F199" s="233" t="e">
        <f t="shared" si="33"/>
        <v>#NUM!</v>
      </c>
      <c r="G199" s="240"/>
      <c r="H199" s="233" t="e">
        <f t="shared" si="34"/>
        <v>#NUM!</v>
      </c>
      <c r="I199" s="1"/>
      <c r="K199" s="227"/>
      <c r="L199" s="1"/>
      <c r="M199" s="1"/>
      <c r="N199" s="232">
        <v>176</v>
      </c>
      <c r="O199" s="233" t="e">
        <f t="shared" si="35"/>
        <v>#NUM!</v>
      </c>
      <c r="P199" s="241" t="e">
        <f t="shared" si="36"/>
        <v>#NUM!</v>
      </c>
      <c r="Q199" s="233" t="e">
        <f t="shared" si="37"/>
        <v>#NUM!</v>
      </c>
      <c r="R199" s="233" t="e">
        <f t="shared" si="38"/>
        <v>#NUM!</v>
      </c>
      <c r="S199" s="240"/>
      <c r="T199" s="233" t="e">
        <f t="shared" si="39"/>
        <v>#NUM!</v>
      </c>
      <c r="U199" s="226"/>
      <c r="V199" s="226"/>
      <c r="W199" s="226"/>
      <c r="X199" s="230"/>
      <c r="Y199" s="1"/>
    </row>
    <row r="200" spans="1:25" ht="15.75" x14ac:dyDescent="0.3">
      <c r="A200" s="1"/>
      <c r="B200" s="232">
        <v>177</v>
      </c>
      <c r="C200" s="233" t="e">
        <f t="shared" si="30"/>
        <v>#NUM!</v>
      </c>
      <c r="D200" s="241" t="e">
        <f t="shared" si="31"/>
        <v>#NUM!</v>
      </c>
      <c r="E200" s="233" t="e">
        <f t="shared" si="32"/>
        <v>#NUM!</v>
      </c>
      <c r="F200" s="233" t="e">
        <f t="shared" si="33"/>
        <v>#NUM!</v>
      </c>
      <c r="G200" s="240"/>
      <c r="H200" s="233" t="e">
        <f t="shared" si="34"/>
        <v>#NUM!</v>
      </c>
      <c r="I200" s="1"/>
      <c r="K200" s="227"/>
      <c r="L200" s="1"/>
      <c r="M200" s="1"/>
      <c r="N200" s="232">
        <v>177</v>
      </c>
      <c r="O200" s="233" t="e">
        <f t="shared" si="35"/>
        <v>#NUM!</v>
      </c>
      <c r="P200" s="241" t="e">
        <f t="shared" si="36"/>
        <v>#NUM!</v>
      </c>
      <c r="Q200" s="233" t="e">
        <f t="shared" si="37"/>
        <v>#NUM!</v>
      </c>
      <c r="R200" s="233" t="e">
        <f t="shared" si="38"/>
        <v>#NUM!</v>
      </c>
      <c r="S200" s="240"/>
      <c r="T200" s="233" t="e">
        <f t="shared" si="39"/>
        <v>#NUM!</v>
      </c>
      <c r="U200" s="226"/>
      <c r="V200" s="226"/>
      <c r="W200" s="226"/>
      <c r="X200" s="230"/>
      <c r="Y200" s="1"/>
    </row>
    <row r="201" spans="1:25" ht="15.75" x14ac:dyDescent="0.3">
      <c r="A201" s="1"/>
      <c r="B201" s="232">
        <v>178</v>
      </c>
      <c r="C201" s="233" t="e">
        <f t="shared" si="30"/>
        <v>#NUM!</v>
      </c>
      <c r="D201" s="241" t="e">
        <f t="shared" si="31"/>
        <v>#NUM!</v>
      </c>
      <c r="E201" s="233" t="e">
        <f t="shared" si="32"/>
        <v>#NUM!</v>
      </c>
      <c r="F201" s="233" t="e">
        <f t="shared" si="33"/>
        <v>#NUM!</v>
      </c>
      <c r="G201" s="240"/>
      <c r="H201" s="233" t="e">
        <f t="shared" si="34"/>
        <v>#NUM!</v>
      </c>
      <c r="I201" s="1"/>
      <c r="K201" s="227"/>
      <c r="L201" s="1"/>
      <c r="M201" s="1"/>
      <c r="N201" s="232">
        <v>178</v>
      </c>
      <c r="O201" s="233" t="e">
        <f t="shared" si="35"/>
        <v>#NUM!</v>
      </c>
      <c r="P201" s="241" t="e">
        <f t="shared" si="36"/>
        <v>#NUM!</v>
      </c>
      <c r="Q201" s="233" t="e">
        <f t="shared" si="37"/>
        <v>#NUM!</v>
      </c>
      <c r="R201" s="233" t="e">
        <f t="shared" si="38"/>
        <v>#NUM!</v>
      </c>
      <c r="S201" s="240"/>
      <c r="T201" s="233" t="e">
        <f t="shared" si="39"/>
        <v>#NUM!</v>
      </c>
      <c r="U201" s="226"/>
      <c r="V201" s="226"/>
      <c r="W201" s="226"/>
      <c r="X201" s="230"/>
      <c r="Y201" s="1"/>
    </row>
    <row r="202" spans="1:25" ht="15.75" x14ac:dyDescent="0.3">
      <c r="A202" s="1"/>
      <c r="B202" s="232">
        <v>179</v>
      </c>
      <c r="C202" s="233" t="e">
        <f t="shared" si="30"/>
        <v>#NUM!</v>
      </c>
      <c r="D202" s="241" t="e">
        <f t="shared" si="31"/>
        <v>#NUM!</v>
      </c>
      <c r="E202" s="233" t="e">
        <f t="shared" si="32"/>
        <v>#NUM!</v>
      </c>
      <c r="F202" s="233" t="e">
        <f t="shared" si="33"/>
        <v>#NUM!</v>
      </c>
      <c r="G202" s="240"/>
      <c r="H202" s="233" t="e">
        <f t="shared" si="34"/>
        <v>#NUM!</v>
      </c>
      <c r="I202" s="1"/>
      <c r="K202" s="227"/>
      <c r="L202" s="1"/>
      <c r="M202" s="1"/>
      <c r="N202" s="232">
        <v>179</v>
      </c>
      <c r="O202" s="233" t="e">
        <f t="shared" si="35"/>
        <v>#NUM!</v>
      </c>
      <c r="P202" s="241" t="e">
        <f t="shared" si="36"/>
        <v>#NUM!</v>
      </c>
      <c r="Q202" s="233" t="e">
        <f t="shared" si="37"/>
        <v>#NUM!</v>
      </c>
      <c r="R202" s="233" t="e">
        <f t="shared" si="38"/>
        <v>#NUM!</v>
      </c>
      <c r="S202" s="240"/>
      <c r="T202" s="233" t="e">
        <f t="shared" si="39"/>
        <v>#NUM!</v>
      </c>
      <c r="U202" s="226"/>
      <c r="V202" s="226"/>
      <c r="W202" s="226"/>
      <c r="X202" s="230"/>
      <c r="Y202" s="1"/>
    </row>
    <row r="203" spans="1:25" ht="15.75" x14ac:dyDescent="0.3">
      <c r="A203" s="1"/>
      <c r="B203" s="232">
        <v>180</v>
      </c>
      <c r="C203" s="233" t="e">
        <f t="shared" si="30"/>
        <v>#NUM!</v>
      </c>
      <c r="D203" s="241" t="e">
        <f t="shared" si="31"/>
        <v>#NUM!</v>
      </c>
      <c r="E203" s="233" t="e">
        <f t="shared" si="32"/>
        <v>#NUM!</v>
      </c>
      <c r="F203" s="233" t="e">
        <f t="shared" si="33"/>
        <v>#NUM!</v>
      </c>
      <c r="G203" s="240"/>
      <c r="H203" s="233" t="e">
        <f t="shared" si="34"/>
        <v>#NUM!</v>
      </c>
      <c r="I203" s="1"/>
      <c r="K203" s="227"/>
      <c r="L203" s="1"/>
      <c r="M203" s="1"/>
      <c r="N203" s="232">
        <v>180</v>
      </c>
      <c r="O203" s="233" t="e">
        <f t="shared" si="35"/>
        <v>#NUM!</v>
      </c>
      <c r="P203" s="241" t="e">
        <f t="shared" si="36"/>
        <v>#NUM!</v>
      </c>
      <c r="Q203" s="233" t="e">
        <f t="shared" si="37"/>
        <v>#NUM!</v>
      </c>
      <c r="R203" s="233" t="e">
        <f t="shared" si="38"/>
        <v>#NUM!</v>
      </c>
      <c r="S203" s="240"/>
      <c r="T203" s="233" t="e">
        <f t="shared" si="39"/>
        <v>#NUM!</v>
      </c>
      <c r="U203" s="226"/>
      <c r="V203" s="226"/>
      <c r="W203" s="226"/>
      <c r="X203" s="230"/>
      <c r="Y203" s="1"/>
    </row>
    <row r="204" spans="1:25" ht="15.75" x14ac:dyDescent="0.3">
      <c r="A204" s="1"/>
      <c r="B204" s="232">
        <v>181</v>
      </c>
      <c r="C204" s="233" t="e">
        <f t="shared" si="30"/>
        <v>#NUM!</v>
      </c>
      <c r="D204" s="241" t="e">
        <f t="shared" si="31"/>
        <v>#NUM!</v>
      </c>
      <c r="E204" s="233" t="e">
        <f t="shared" si="32"/>
        <v>#NUM!</v>
      </c>
      <c r="F204" s="233" t="e">
        <f t="shared" si="33"/>
        <v>#NUM!</v>
      </c>
      <c r="G204" s="240"/>
      <c r="H204" s="233" t="e">
        <f t="shared" si="34"/>
        <v>#NUM!</v>
      </c>
      <c r="I204" s="1"/>
      <c r="K204" s="227"/>
      <c r="L204" s="1"/>
      <c r="M204" s="1"/>
      <c r="N204" s="232">
        <v>181</v>
      </c>
      <c r="O204" s="233" t="e">
        <f t="shared" si="35"/>
        <v>#NUM!</v>
      </c>
      <c r="P204" s="241" t="e">
        <f t="shared" si="36"/>
        <v>#NUM!</v>
      </c>
      <c r="Q204" s="233" t="e">
        <f t="shared" si="37"/>
        <v>#NUM!</v>
      </c>
      <c r="R204" s="233" t="e">
        <f t="shared" si="38"/>
        <v>#NUM!</v>
      </c>
      <c r="S204" s="240"/>
      <c r="T204" s="233" t="e">
        <f t="shared" si="39"/>
        <v>#NUM!</v>
      </c>
      <c r="U204" s="226"/>
      <c r="V204" s="226"/>
      <c r="W204" s="226"/>
      <c r="X204" s="230"/>
      <c r="Y204" s="1"/>
    </row>
    <row r="205" spans="1:25" ht="15.75" x14ac:dyDescent="0.3">
      <c r="A205" s="1"/>
      <c r="B205" s="232">
        <v>182</v>
      </c>
      <c r="C205" s="233" t="e">
        <f t="shared" si="30"/>
        <v>#NUM!</v>
      </c>
      <c r="D205" s="241" t="e">
        <f t="shared" si="31"/>
        <v>#NUM!</v>
      </c>
      <c r="E205" s="233" t="e">
        <f t="shared" si="32"/>
        <v>#NUM!</v>
      </c>
      <c r="F205" s="233" t="e">
        <f t="shared" si="33"/>
        <v>#NUM!</v>
      </c>
      <c r="G205" s="240"/>
      <c r="H205" s="233" t="e">
        <f t="shared" si="34"/>
        <v>#NUM!</v>
      </c>
      <c r="I205" s="1"/>
      <c r="K205" s="227"/>
      <c r="L205" s="1"/>
      <c r="M205" s="1"/>
      <c r="N205" s="232">
        <v>182</v>
      </c>
      <c r="O205" s="233" t="e">
        <f t="shared" si="35"/>
        <v>#NUM!</v>
      </c>
      <c r="P205" s="241" t="e">
        <f t="shared" si="36"/>
        <v>#NUM!</v>
      </c>
      <c r="Q205" s="233" t="e">
        <f t="shared" si="37"/>
        <v>#NUM!</v>
      </c>
      <c r="R205" s="233" t="e">
        <f t="shared" si="38"/>
        <v>#NUM!</v>
      </c>
      <c r="S205" s="240"/>
      <c r="T205" s="233" t="e">
        <f t="shared" si="39"/>
        <v>#NUM!</v>
      </c>
      <c r="U205" s="226"/>
      <c r="V205" s="226"/>
      <c r="W205" s="226"/>
      <c r="X205" s="230"/>
      <c r="Y205" s="1"/>
    </row>
    <row r="206" spans="1:25" ht="15.75" x14ac:dyDescent="0.3">
      <c r="A206" s="1"/>
      <c r="B206" s="232">
        <v>183</v>
      </c>
      <c r="C206" s="233" t="e">
        <f t="shared" si="30"/>
        <v>#NUM!</v>
      </c>
      <c r="D206" s="241" t="e">
        <f t="shared" si="31"/>
        <v>#NUM!</v>
      </c>
      <c r="E206" s="233" t="e">
        <f t="shared" si="32"/>
        <v>#NUM!</v>
      </c>
      <c r="F206" s="233" t="e">
        <f t="shared" si="33"/>
        <v>#NUM!</v>
      </c>
      <c r="G206" s="240"/>
      <c r="H206" s="233" t="e">
        <f t="shared" si="34"/>
        <v>#NUM!</v>
      </c>
      <c r="I206" s="1"/>
      <c r="K206" s="227"/>
      <c r="L206" s="1"/>
      <c r="M206" s="1"/>
      <c r="N206" s="232">
        <v>183</v>
      </c>
      <c r="O206" s="233" t="e">
        <f t="shared" si="35"/>
        <v>#NUM!</v>
      </c>
      <c r="P206" s="241" t="e">
        <f t="shared" si="36"/>
        <v>#NUM!</v>
      </c>
      <c r="Q206" s="233" t="e">
        <f t="shared" si="37"/>
        <v>#NUM!</v>
      </c>
      <c r="R206" s="233" t="e">
        <f t="shared" si="38"/>
        <v>#NUM!</v>
      </c>
      <c r="S206" s="240"/>
      <c r="T206" s="233" t="e">
        <f t="shared" si="39"/>
        <v>#NUM!</v>
      </c>
      <c r="U206" s="226"/>
      <c r="V206" s="226"/>
      <c r="W206" s="226"/>
      <c r="X206" s="230"/>
      <c r="Y206" s="1"/>
    </row>
    <row r="207" spans="1:25" ht="15.75" x14ac:dyDescent="0.3">
      <c r="A207" s="1"/>
      <c r="B207" s="232">
        <v>184</v>
      </c>
      <c r="C207" s="233" t="e">
        <f t="shared" si="30"/>
        <v>#NUM!</v>
      </c>
      <c r="D207" s="241" t="e">
        <f t="shared" si="31"/>
        <v>#NUM!</v>
      </c>
      <c r="E207" s="233" t="e">
        <f t="shared" si="32"/>
        <v>#NUM!</v>
      </c>
      <c r="F207" s="233" t="e">
        <f t="shared" si="33"/>
        <v>#NUM!</v>
      </c>
      <c r="G207" s="240"/>
      <c r="H207" s="233" t="e">
        <f t="shared" si="34"/>
        <v>#NUM!</v>
      </c>
      <c r="I207" s="1"/>
      <c r="K207" s="227"/>
      <c r="L207" s="1"/>
      <c r="M207" s="1"/>
      <c r="N207" s="232">
        <v>184</v>
      </c>
      <c r="O207" s="233" t="e">
        <f t="shared" si="35"/>
        <v>#NUM!</v>
      </c>
      <c r="P207" s="241" t="e">
        <f t="shared" si="36"/>
        <v>#NUM!</v>
      </c>
      <c r="Q207" s="233" t="e">
        <f t="shared" si="37"/>
        <v>#NUM!</v>
      </c>
      <c r="R207" s="233" t="e">
        <f t="shared" si="38"/>
        <v>#NUM!</v>
      </c>
      <c r="S207" s="240"/>
      <c r="T207" s="233" t="e">
        <f t="shared" si="39"/>
        <v>#NUM!</v>
      </c>
      <c r="U207" s="226"/>
      <c r="V207" s="226"/>
      <c r="W207" s="226"/>
      <c r="X207" s="230"/>
      <c r="Y207" s="1"/>
    </row>
    <row r="208" spans="1:25" ht="15.75" x14ac:dyDescent="0.3">
      <c r="A208" s="1"/>
      <c r="B208" s="232">
        <v>185</v>
      </c>
      <c r="C208" s="233" t="e">
        <f t="shared" si="30"/>
        <v>#NUM!</v>
      </c>
      <c r="D208" s="241" t="e">
        <f t="shared" si="31"/>
        <v>#NUM!</v>
      </c>
      <c r="E208" s="233" t="e">
        <f t="shared" si="32"/>
        <v>#NUM!</v>
      </c>
      <c r="F208" s="233" t="e">
        <f t="shared" si="33"/>
        <v>#NUM!</v>
      </c>
      <c r="G208" s="240"/>
      <c r="H208" s="233" t="e">
        <f t="shared" si="34"/>
        <v>#NUM!</v>
      </c>
      <c r="I208" s="1"/>
      <c r="K208" s="227"/>
      <c r="L208" s="1"/>
      <c r="M208" s="1"/>
      <c r="N208" s="232">
        <v>185</v>
      </c>
      <c r="O208" s="233" t="e">
        <f t="shared" si="35"/>
        <v>#NUM!</v>
      </c>
      <c r="P208" s="241" t="e">
        <f t="shared" si="36"/>
        <v>#NUM!</v>
      </c>
      <c r="Q208" s="233" t="e">
        <f t="shared" si="37"/>
        <v>#NUM!</v>
      </c>
      <c r="R208" s="233" t="e">
        <f t="shared" si="38"/>
        <v>#NUM!</v>
      </c>
      <c r="S208" s="240"/>
      <c r="T208" s="233" t="e">
        <f t="shared" si="39"/>
        <v>#NUM!</v>
      </c>
      <c r="U208" s="226"/>
      <c r="V208" s="226"/>
      <c r="W208" s="226"/>
      <c r="X208" s="230"/>
      <c r="Y208" s="1"/>
    </row>
    <row r="209" spans="1:25" ht="15.75" x14ac:dyDescent="0.3">
      <c r="A209" s="1"/>
      <c r="B209" s="232">
        <v>186</v>
      </c>
      <c r="C209" s="233" t="e">
        <f t="shared" si="30"/>
        <v>#NUM!</v>
      </c>
      <c r="D209" s="241" t="e">
        <f t="shared" si="31"/>
        <v>#NUM!</v>
      </c>
      <c r="E209" s="233" t="e">
        <f t="shared" si="32"/>
        <v>#NUM!</v>
      </c>
      <c r="F209" s="233" t="e">
        <f t="shared" si="33"/>
        <v>#NUM!</v>
      </c>
      <c r="G209" s="240"/>
      <c r="H209" s="233" t="e">
        <f t="shared" si="34"/>
        <v>#NUM!</v>
      </c>
      <c r="I209" s="1"/>
      <c r="K209" s="227"/>
      <c r="L209" s="1"/>
      <c r="M209" s="1"/>
      <c r="N209" s="232">
        <v>186</v>
      </c>
      <c r="O209" s="233" t="e">
        <f t="shared" si="35"/>
        <v>#NUM!</v>
      </c>
      <c r="P209" s="241" t="e">
        <f t="shared" si="36"/>
        <v>#NUM!</v>
      </c>
      <c r="Q209" s="233" t="e">
        <f t="shared" si="37"/>
        <v>#NUM!</v>
      </c>
      <c r="R209" s="233" t="e">
        <f t="shared" si="38"/>
        <v>#NUM!</v>
      </c>
      <c r="S209" s="240"/>
      <c r="T209" s="233" t="e">
        <f t="shared" si="39"/>
        <v>#NUM!</v>
      </c>
      <c r="U209" s="226"/>
      <c r="V209" s="226"/>
      <c r="W209" s="226"/>
      <c r="X209" s="230"/>
      <c r="Y209" s="1"/>
    </row>
    <row r="210" spans="1:25" ht="15.75" x14ac:dyDescent="0.3">
      <c r="A210" s="1"/>
      <c r="B210" s="232">
        <v>187</v>
      </c>
      <c r="C210" s="233" t="e">
        <f t="shared" si="30"/>
        <v>#NUM!</v>
      </c>
      <c r="D210" s="241" t="e">
        <f t="shared" si="31"/>
        <v>#NUM!</v>
      </c>
      <c r="E210" s="233" t="e">
        <f t="shared" si="32"/>
        <v>#NUM!</v>
      </c>
      <c r="F210" s="233" t="e">
        <f t="shared" si="33"/>
        <v>#NUM!</v>
      </c>
      <c r="G210" s="240"/>
      <c r="H210" s="233" t="e">
        <f t="shared" si="34"/>
        <v>#NUM!</v>
      </c>
      <c r="I210" s="1"/>
      <c r="K210" s="227"/>
      <c r="L210" s="1"/>
      <c r="M210" s="1"/>
      <c r="N210" s="232">
        <v>187</v>
      </c>
      <c r="O210" s="233" t="e">
        <f t="shared" si="35"/>
        <v>#NUM!</v>
      </c>
      <c r="P210" s="241" t="e">
        <f t="shared" si="36"/>
        <v>#NUM!</v>
      </c>
      <c r="Q210" s="233" t="e">
        <f t="shared" si="37"/>
        <v>#NUM!</v>
      </c>
      <c r="R210" s="233" t="e">
        <f t="shared" si="38"/>
        <v>#NUM!</v>
      </c>
      <c r="S210" s="240"/>
      <c r="T210" s="233" t="e">
        <f t="shared" si="39"/>
        <v>#NUM!</v>
      </c>
      <c r="U210" s="226"/>
      <c r="V210" s="226"/>
      <c r="W210" s="226"/>
      <c r="X210" s="230"/>
      <c r="Y210" s="1"/>
    </row>
    <row r="211" spans="1:25" ht="15.75" x14ac:dyDescent="0.3">
      <c r="A211" s="1"/>
      <c r="B211" s="232">
        <v>188</v>
      </c>
      <c r="C211" s="233" t="e">
        <f t="shared" si="30"/>
        <v>#NUM!</v>
      </c>
      <c r="D211" s="241" t="e">
        <f t="shared" si="31"/>
        <v>#NUM!</v>
      </c>
      <c r="E211" s="233" t="e">
        <f t="shared" si="32"/>
        <v>#NUM!</v>
      </c>
      <c r="F211" s="233" t="e">
        <f t="shared" si="33"/>
        <v>#NUM!</v>
      </c>
      <c r="G211" s="240"/>
      <c r="H211" s="233" t="e">
        <f t="shared" si="34"/>
        <v>#NUM!</v>
      </c>
      <c r="I211" s="1"/>
      <c r="K211" s="227"/>
      <c r="L211" s="1"/>
      <c r="M211" s="1"/>
      <c r="N211" s="232">
        <v>188</v>
      </c>
      <c r="O211" s="233" t="e">
        <f t="shared" si="35"/>
        <v>#NUM!</v>
      </c>
      <c r="P211" s="241" t="e">
        <f t="shared" si="36"/>
        <v>#NUM!</v>
      </c>
      <c r="Q211" s="233" t="e">
        <f t="shared" si="37"/>
        <v>#NUM!</v>
      </c>
      <c r="R211" s="233" t="e">
        <f t="shared" si="38"/>
        <v>#NUM!</v>
      </c>
      <c r="S211" s="240"/>
      <c r="T211" s="233" t="e">
        <f t="shared" si="39"/>
        <v>#NUM!</v>
      </c>
      <c r="U211" s="226"/>
      <c r="V211" s="226"/>
      <c r="W211" s="226"/>
      <c r="X211" s="230"/>
      <c r="Y211" s="1"/>
    </row>
    <row r="212" spans="1:25" ht="15.75" x14ac:dyDescent="0.3">
      <c r="A212" s="1"/>
      <c r="B212" s="232">
        <v>189</v>
      </c>
      <c r="C212" s="233" t="e">
        <f t="shared" si="30"/>
        <v>#NUM!</v>
      </c>
      <c r="D212" s="241" t="e">
        <f t="shared" si="31"/>
        <v>#NUM!</v>
      </c>
      <c r="E212" s="233" t="e">
        <f t="shared" si="32"/>
        <v>#NUM!</v>
      </c>
      <c r="F212" s="233" t="e">
        <f t="shared" si="33"/>
        <v>#NUM!</v>
      </c>
      <c r="G212" s="240"/>
      <c r="H212" s="233" t="e">
        <f t="shared" si="34"/>
        <v>#NUM!</v>
      </c>
      <c r="I212" s="1"/>
      <c r="K212" s="227"/>
      <c r="L212" s="1"/>
      <c r="M212" s="1"/>
      <c r="N212" s="232">
        <v>189</v>
      </c>
      <c r="O212" s="233" t="e">
        <f t="shared" si="35"/>
        <v>#NUM!</v>
      </c>
      <c r="P212" s="241" t="e">
        <f t="shared" si="36"/>
        <v>#NUM!</v>
      </c>
      <c r="Q212" s="233" t="e">
        <f t="shared" si="37"/>
        <v>#NUM!</v>
      </c>
      <c r="R212" s="233" t="e">
        <f t="shared" si="38"/>
        <v>#NUM!</v>
      </c>
      <c r="S212" s="240"/>
      <c r="T212" s="233" t="e">
        <f t="shared" si="39"/>
        <v>#NUM!</v>
      </c>
      <c r="U212" s="226"/>
      <c r="V212" s="226"/>
      <c r="W212" s="226"/>
      <c r="X212" s="230"/>
      <c r="Y212" s="1"/>
    </row>
    <row r="213" spans="1:25" ht="15.75" x14ac:dyDescent="0.3">
      <c r="A213" s="1"/>
      <c r="B213" s="232">
        <v>190</v>
      </c>
      <c r="C213" s="233" t="e">
        <f t="shared" si="30"/>
        <v>#NUM!</v>
      </c>
      <c r="D213" s="241" t="e">
        <f t="shared" si="31"/>
        <v>#NUM!</v>
      </c>
      <c r="E213" s="233" t="e">
        <f t="shared" si="32"/>
        <v>#NUM!</v>
      </c>
      <c r="F213" s="233" t="e">
        <f t="shared" si="33"/>
        <v>#NUM!</v>
      </c>
      <c r="G213" s="240"/>
      <c r="H213" s="233" t="e">
        <f t="shared" si="34"/>
        <v>#NUM!</v>
      </c>
      <c r="I213" s="1"/>
      <c r="K213" s="227"/>
      <c r="L213" s="1"/>
      <c r="M213" s="1"/>
      <c r="N213" s="232">
        <v>190</v>
      </c>
      <c r="O213" s="233" t="e">
        <f t="shared" si="35"/>
        <v>#NUM!</v>
      </c>
      <c r="P213" s="241" t="e">
        <f t="shared" si="36"/>
        <v>#NUM!</v>
      </c>
      <c r="Q213" s="233" t="e">
        <f t="shared" si="37"/>
        <v>#NUM!</v>
      </c>
      <c r="R213" s="233" t="e">
        <f t="shared" si="38"/>
        <v>#NUM!</v>
      </c>
      <c r="S213" s="240"/>
      <c r="T213" s="233" t="e">
        <f t="shared" si="39"/>
        <v>#NUM!</v>
      </c>
      <c r="U213" s="226"/>
      <c r="V213" s="226"/>
      <c r="W213" s="226"/>
      <c r="X213" s="230"/>
      <c r="Y213" s="1"/>
    </row>
    <row r="214" spans="1:25" ht="15.75" x14ac:dyDescent="0.3">
      <c r="A214" s="1"/>
      <c r="B214" s="232">
        <v>191</v>
      </c>
      <c r="C214" s="233" t="e">
        <f t="shared" si="30"/>
        <v>#NUM!</v>
      </c>
      <c r="D214" s="241" t="e">
        <f t="shared" si="31"/>
        <v>#NUM!</v>
      </c>
      <c r="E214" s="233" t="e">
        <f t="shared" si="32"/>
        <v>#NUM!</v>
      </c>
      <c r="F214" s="233" t="e">
        <f t="shared" si="33"/>
        <v>#NUM!</v>
      </c>
      <c r="G214" s="240"/>
      <c r="H214" s="233" t="e">
        <f t="shared" si="34"/>
        <v>#NUM!</v>
      </c>
      <c r="I214" s="1"/>
      <c r="K214" s="227"/>
      <c r="L214" s="1"/>
      <c r="M214" s="1"/>
      <c r="N214" s="232">
        <v>191</v>
      </c>
      <c r="O214" s="233" t="e">
        <f t="shared" si="35"/>
        <v>#NUM!</v>
      </c>
      <c r="P214" s="241" t="e">
        <f t="shared" si="36"/>
        <v>#NUM!</v>
      </c>
      <c r="Q214" s="233" t="e">
        <f t="shared" si="37"/>
        <v>#NUM!</v>
      </c>
      <c r="R214" s="233" t="e">
        <f t="shared" si="38"/>
        <v>#NUM!</v>
      </c>
      <c r="S214" s="240"/>
      <c r="T214" s="233" t="e">
        <f t="shared" si="39"/>
        <v>#NUM!</v>
      </c>
      <c r="U214" s="226"/>
      <c r="V214" s="226"/>
      <c r="W214" s="226"/>
      <c r="X214" s="230"/>
      <c r="Y214" s="1"/>
    </row>
    <row r="215" spans="1:25" ht="15.75" x14ac:dyDescent="0.3">
      <c r="A215" s="1"/>
      <c r="B215" s="232">
        <v>192</v>
      </c>
      <c r="C215" s="233" t="e">
        <f t="shared" si="30"/>
        <v>#NUM!</v>
      </c>
      <c r="D215" s="241" t="e">
        <f t="shared" si="31"/>
        <v>#NUM!</v>
      </c>
      <c r="E215" s="233" t="e">
        <f t="shared" si="32"/>
        <v>#NUM!</v>
      </c>
      <c r="F215" s="233" t="e">
        <f t="shared" si="33"/>
        <v>#NUM!</v>
      </c>
      <c r="G215" s="240"/>
      <c r="H215" s="233" t="e">
        <f t="shared" si="34"/>
        <v>#NUM!</v>
      </c>
      <c r="I215" s="1"/>
      <c r="K215" s="227"/>
      <c r="L215" s="1"/>
      <c r="M215" s="1"/>
      <c r="N215" s="232">
        <v>192</v>
      </c>
      <c r="O215" s="233" t="e">
        <f t="shared" si="35"/>
        <v>#NUM!</v>
      </c>
      <c r="P215" s="241" t="e">
        <f t="shared" si="36"/>
        <v>#NUM!</v>
      </c>
      <c r="Q215" s="233" t="e">
        <f t="shared" si="37"/>
        <v>#NUM!</v>
      </c>
      <c r="R215" s="233" t="e">
        <f t="shared" si="38"/>
        <v>#NUM!</v>
      </c>
      <c r="S215" s="240"/>
      <c r="T215" s="233" t="e">
        <f t="shared" si="39"/>
        <v>#NUM!</v>
      </c>
      <c r="U215" s="226"/>
      <c r="V215" s="226"/>
      <c r="W215" s="226"/>
      <c r="X215" s="230"/>
      <c r="Y215" s="1"/>
    </row>
    <row r="216" spans="1:25" ht="15.75" x14ac:dyDescent="0.3">
      <c r="A216" s="1"/>
      <c r="B216" s="232">
        <v>193</v>
      </c>
      <c r="C216" s="233" t="e">
        <f t="shared" si="30"/>
        <v>#NUM!</v>
      </c>
      <c r="D216" s="241" t="e">
        <f t="shared" si="31"/>
        <v>#NUM!</v>
      </c>
      <c r="E216" s="233" t="e">
        <f t="shared" si="32"/>
        <v>#NUM!</v>
      </c>
      <c r="F216" s="233" t="e">
        <f t="shared" si="33"/>
        <v>#NUM!</v>
      </c>
      <c r="G216" s="240"/>
      <c r="H216" s="233" t="e">
        <f t="shared" si="34"/>
        <v>#NUM!</v>
      </c>
      <c r="I216" s="1"/>
      <c r="K216" s="227"/>
      <c r="L216" s="1"/>
      <c r="M216" s="1"/>
      <c r="N216" s="232">
        <v>193</v>
      </c>
      <c r="O216" s="233" t="e">
        <f t="shared" si="35"/>
        <v>#NUM!</v>
      </c>
      <c r="P216" s="241" t="e">
        <f t="shared" si="36"/>
        <v>#NUM!</v>
      </c>
      <c r="Q216" s="233" t="e">
        <f t="shared" si="37"/>
        <v>#NUM!</v>
      </c>
      <c r="R216" s="233" t="e">
        <f t="shared" si="38"/>
        <v>#NUM!</v>
      </c>
      <c r="S216" s="240"/>
      <c r="T216" s="233" t="e">
        <f t="shared" si="39"/>
        <v>#NUM!</v>
      </c>
      <c r="U216" s="226"/>
      <c r="V216" s="226"/>
      <c r="W216" s="226"/>
      <c r="X216" s="230"/>
      <c r="Y216" s="1"/>
    </row>
    <row r="217" spans="1:25" ht="15.75" x14ac:dyDescent="0.3">
      <c r="A217" s="1"/>
      <c r="B217" s="232">
        <v>194</v>
      </c>
      <c r="C217" s="233" t="e">
        <f t="shared" si="30"/>
        <v>#NUM!</v>
      </c>
      <c r="D217" s="241" t="e">
        <f t="shared" si="31"/>
        <v>#NUM!</v>
      </c>
      <c r="E217" s="233" t="e">
        <f t="shared" si="32"/>
        <v>#NUM!</v>
      </c>
      <c r="F217" s="233" t="e">
        <f t="shared" si="33"/>
        <v>#NUM!</v>
      </c>
      <c r="G217" s="240"/>
      <c r="H217" s="233" t="e">
        <f t="shared" si="34"/>
        <v>#NUM!</v>
      </c>
      <c r="I217" s="1"/>
      <c r="K217" s="227"/>
      <c r="L217" s="1"/>
      <c r="M217" s="1"/>
      <c r="N217" s="232">
        <v>194</v>
      </c>
      <c r="O217" s="233" t="e">
        <f t="shared" si="35"/>
        <v>#NUM!</v>
      </c>
      <c r="P217" s="241" t="e">
        <f t="shared" si="36"/>
        <v>#NUM!</v>
      </c>
      <c r="Q217" s="233" t="e">
        <f t="shared" si="37"/>
        <v>#NUM!</v>
      </c>
      <c r="R217" s="233" t="e">
        <f t="shared" si="38"/>
        <v>#NUM!</v>
      </c>
      <c r="S217" s="240"/>
      <c r="T217" s="233" t="e">
        <f t="shared" si="39"/>
        <v>#NUM!</v>
      </c>
      <c r="U217" s="226"/>
      <c r="V217" s="226"/>
      <c r="W217" s="226"/>
      <c r="X217" s="230"/>
      <c r="Y217" s="1"/>
    </row>
    <row r="218" spans="1:25" ht="15.75" x14ac:dyDescent="0.3">
      <c r="A218" s="1"/>
      <c r="B218" s="232">
        <v>195</v>
      </c>
      <c r="C218" s="233" t="e">
        <f t="shared" si="30"/>
        <v>#NUM!</v>
      </c>
      <c r="D218" s="241" t="e">
        <f t="shared" si="31"/>
        <v>#NUM!</v>
      </c>
      <c r="E218" s="233" t="e">
        <f t="shared" si="32"/>
        <v>#NUM!</v>
      </c>
      <c r="F218" s="233" t="e">
        <f t="shared" si="33"/>
        <v>#NUM!</v>
      </c>
      <c r="G218" s="240"/>
      <c r="H218" s="233" t="e">
        <f t="shared" si="34"/>
        <v>#NUM!</v>
      </c>
      <c r="I218" s="1"/>
      <c r="K218" s="227"/>
      <c r="L218" s="1"/>
      <c r="M218" s="1"/>
      <c r="N218" s="232">
        <v>195</v>
      </c>
      <c r="O218" s="233" t="e">
        <f t="shared" si="35"/>
        <v>#NUM!</v>
      </c>
      <c r="P218" s="241" t="e">
        <f t="shared" si="36"/>
        <v>#NUM!</v>
      </c>
      <c r="Q218" s="233" t="e">
        <f t="shared" si="37"/>
        <v>#NUM!</v>
      </c>
      <c r="R218" s="233" t="e">
        <f t="shared" si="38"/>
        <v>#NUM!</v>
      </c>
      <c r="S218" s="240"/>
      <c r="T218" s="233" t="e">
        <f t="shared" si="39"/>
        <v>#NUM!</v>
      </c>
      <c r="U218" s="226"/>
      <c r="V218" s="226"/>
      <c r="W218" s="226"/>
      <c r="X218" s="230"/>
      <c r="Y218" s="1"/>
    </row>
    <row r="219" spans="1:25" ht="15.75" x14ac:dyDescent="0.3">
      <c r="A219" s="1"/>
      <c r="B219" s="232">
        <v>196</v>
      </c>
      <c r="C219" s="233" t="e">
        <f t="shared" si="30"/>
        <v>#NUM!</v>
      </c>
      <c r="D219" s="241" t="e">
        <f t="shared" si="31"/>
        <v>#NUM!</v>
      </c>
      <c r="E219" s="233" t="e">
        <f t="shared" si="32"/>
        <v>#NUM!</v>
      </c>
      <c r="F219" s="233" t="e">
        <f t="shared" si="33"/>
        <v>#NUM!</v>
      </c>
      <c r="G219" s="240"/>
      <c r="H219" s="233" t="e">
        <f t="shared" si="34"/>
        <v>#NUM!</v>
      </c>
      <c r="I219" s="1"/>
      <c r="K219" s="227"/>
      <c r="L219" s="1"/>
      <c r="M219" s="1"/>
      <c r="N219" s="232">
        <v>196</v>
      </c>
      <c r="O219" s="233" t="e">
        <f t="shared" si="35"/>
        <v>#NUM!</v>
      </c>
      <c r="P219" s="241" t="e">
        <f t="shared" si="36"/>
        <v>#NUM!</v>
      </c>
      <c r="Q219" s="233" t="e">
        <f t="shared" si="37"/>
        <v>#NUM!</v>
      </c>
      <c r="R219" s="233" t="e">
        <f t="shared" si="38"/>
        <v>#NUM!</v>
      </c>
      <c r="S219" s="240"/>
      <c r="T219" s="233" t="e">
        <f t="shared" si="39"/>
        <v>#NUM!</v>
      </c>
      <c r="U219" s="226"/>
      <c r="V219" s="226"/>
      <c r="W219" s="226"/>
      <c r="X219" s="230"/>
      <c r="Y219" s="1"/>
    </row>
    <row r="220" spans="1:25" ht="15.75" x14ac:dyDescent="0.3">
      <c r="A220" s="1"/>
      <c r="B220" s="232">
        <v>197</v>
      </c>
      <c r="C220" s="233" t="e">
        <f t="shared" si="30"/>
        <v>#NUM!</v>
      </c>
      <c r="D220" s="241" t="e">
        <f t="shared" si="31"/>
        <v>#NUM!</v>
      </c>
      <c r="E220" s="233" t="e">
        <f t="shared" si="32"/>
        <v>#NUM!</v>
      </c>
      <c r="F220" s="233" t="e">
        <f t="shared" si="33"/>
        <v>#NUM!</v>
      </c>
      <c r="G220" s="240"/>
      <c r="H220" s="233" t="e">
        <f t="shared" si="34"/>
        <v>#NUM!</v>
      </c>
      <c r="I220" s="1"/>
      <c r="K220" s="227"/>
      <c r="L220" s="1"/>
      <c r="M220" s="1"/>
      <c r="N220" s="232">
        <v>197</v>
      </c>
      <c r="O220" s="233" t="e">
        <f t="shared" si="35"/>
        <v>#NUM!</v>
      </c>
      <c r="P220" s="241" t="e">
        <f t="shared" si="36"/>
        <v>#NUM!</v>
      </c>
      <c r="Q220" s="233" t="e">
        <f t="shared" si="37"/>
        <v>#NUM!</v>
      </c>
      <c r="R220" s="233" t="e">
        <f t="shared" si="38"/>
        <v>#NUM!</v>
      </c>
      <c r="S220" s="240"/>
      <c r="T220" s="233" t="e">
        <f t="shared" si="39"/>
        <v>#NUM!</v>
      </c>
      <c r="U220" s="226"/>
      <c r="V220" s="226"/>
      <c r="W220" s="226"/>
      <c r="X220" s="230"/>
      <c r="Y220" s="1"/>
    </row>
    <row r="221" spans="1:25" ht="15.75" x14ac:dyDescent="0.3">
      <c r="A221" s="1"/>
      <c r="B221" s="232">
        <v>198</v>
      </c>
      <c r="C221" s="233" t="e">
        <f t="shared" si="30"/>
        <v>#NUM!</v>
      </c>
      <c r="D221" s="241" t="e">
        <f t="shared" si="31"/>
        <v>#NUM!</v>
      </c>
      <c r="E221" s="233" t="e">
        <f t="shared" si="32"/>
        <v>#NUM!</v>
      </c>
      <c r="F221" s="233" t="e">
        <f t="shared" si="33"/>
        <v>#NUM!</v>
      </c>
      <c r="G221" s="240"/>
      <c r="H221" s="233" t="e">
        <f t="shared" si="34"/>
        <v>#NUM!</v>
      </c>
      <c r="I221" s="1"/>
      <c r="K221" s="227"/>
      <c r="L221" s="1"/>
      <c r="M221" s="1"/>
      <c r="N221" s="232">
        <v>198</v>
      </c>
      <c r="O221" s="233" t="e">
        <f t="shared" si="35"/>
        <v>#NUM!</v>
      </c>
      <c r="P221" s="241" t="e">
        <f t="shared" si="36"/>
        <v>#NUM!</v>
      </c>
      <c r="Q221" s="233" t="e">
        <f t="shared" si="37"/>
        <v>#NUM!</v>
      </c>
      <c r="R221" s="233" t="e">
        <f t="shared" si="38"/>
        <v>#NUM!</v>
      </c>
      <c r="S221" s="240"/>
      <c r="T221" s="233" t="e">
        <f t="shared" si="39"/>
        <v>#NUM!</v>
      </c>
      <c r="U221" s="226"/>
      <c r="V221" s="226"/>
      <c r="W221" s="226"/>
      <c r="X221" s="230"/>
      <c r="Y221" s="1"/>
    </row>
    <row r="222" spans="1:25" ht="15.75" x14ac:dyDescent="0.3">
      <c r="A222" s="1"/>
      <c r="B222" s="232">
        <v>199</v>
      </c>
      <c r="C222" s="233" t="e">
        <f t="shared" si="30"/>
        <v>#NUM!</v>
      </c>
      <c r="D222" s="241" t="e">
        <f t="shared" si="31"/>
        <v>#NUM!</v>
      </c>
      <c r="E222" s="233" t="e">
        <f t="shared" si="32"/>
        <v>#NUM!</v>
      </c>
      <c r="F222" s="233" t="e">
        <f t="shared" si="33"/>
        <v>#NUM!</v>
      </c>
      <c r="G222" s="240"/>
      <c r="H222" s="233" t="e">
        <f t="shared" si="34"/>
        <v>#NUM!</v>
      </c>
      <c r="I222" s="1"/>
      <c r="K222" s="227"/>
      <c r="L222" s="1"/>
      <c r="M222" s="1"/>
      <c r="N222" s="232">
        <v>199</v>
      </c>
      <c r="O222" s="233" t="e">
        <f t="shared" si="35"/>
        <v>#NUM!</v>
      </c>
      <c r="P222" s="241" t="e">
        <f t="shared" si="36"/>
        <v>#NUM!</v>
      </c>
      <c r="Q222" s="233" t="e">
        <f t="shared" si="37"/>
        <v>#NUM!</v>
      </c>
      <c r="R222" s="233" t="e">
        <f t="shared" si="38"/>
        <v>#NUM!</v>
      </c>
      <c r="S222" s="240"/>
      <c r="T222" s="233" t="e">
        <f t="shared" si="39"/>
        <v>#NUM!</v>
      </c>
      <c r="U222" s="226"/>
      <c r="V222" s="226"/>
      <c r="W222" s="226"/>
      <c r="X222" s="230"/>
      <c r="Y222" s="1"/>
    </row>
    <row r="223" spans="1:25" ht="15.75" x14ac:dyDescent="0.3">
      <c r="A223" s="1"/>
      <c r="B223" s="232">
        <v>200</v>
      </c>
      <c r="C223" s="233" t="e">
        <f t="shared" si="30"/>
        <v>#NUM!</v>
      </c>
      <c r="D223" s="241" t="e">
        <f t="shared" si="31"/>
        <v>#NUM!</v>
      </c>
      <c r="E223" s="233" t="e">
        <f t="shared" si="32"/>
        <v>#NUM!</v>
      </c>
      <c r="F223" s="233" t="e">
        <f t="shared" si="33"/>
        <v>#NUM!</v>
      </c>
      <c r="G223" s="240"/>
      <c r="H223" s="233" t="e">
        <f t="shared" si="34"/>
        <v>#NUM!</v>
      </c>
      <c r="I223" s="1"/>
      <c r="K223" s="227"/>
      <c r="L223" s="1"/>
      <c r="M223" s="1"/>
      <c r="N223" s="232">
        <v>200</v>
      </c>
      <c r="O223" s="233" t="e">
        <f t="shared" si="35"/>
        <v>#NUM!</v>
      </c>
      <c r="P223" s="241" t="e">
        <f t="shared" si="36"/>
        <v>#NUM!</v>
      </c>
      <c r="Q223" s="233" t="e">
        <f t="shared" si="37"/>
        <v>#NUM!</v>
      </c>
      <c r="R223" s="233" t="e">
        <f t="shared" si="38"/>
        <v>#NUM!</v>
      </c>
      <c r="S223" s="240"/>
      <c r="T223" s="233" t="e">
        <f t="shared" si="39"/>
        <v>#NUM!</v>
      </c>
      <c r="U223" s="226"/>
      <c r="V223" s="226"/>
      <c r="W223" s="226"/>
      <c r="X223" s="230"/>
      <c r="Y223" s="1"/>
    </row>
    <row r="224" spans="1:25" ht="15.75" x14ac:dyDescent="0.3">
      <c r="A224" s="1"/>
      <c r="B224" s="232">
        <v>201</v>
      </c>
      <c r="C224" s="233" t="e">
        <f t="shared" si="30"/>
        <v>#NUM!</v>
      </c>
      <c r="D224" s="241" t="e">
        <f t="shared" si="31"/>
        <v>#NUM!</v>
      </c>
      <c r="E224" s="233" t="e">
        <f t="shared" si="32"/>
        <v>#NUM!</v>
      </c>
      <c r="F224" s="233" t="e">
        <f t="shared" si="33"/>
        <v>#NUM!</v>
      </c>
      <c r="G224" s="240"/>
      <c r="H224" s="233" t="e">
        <f t="shared" si="34"/>
        <v>#NUM!</v>
      </c>
      <c r="I224" s="1"/>
      <c r="K224" s="227"/>
      <c r="L224" s="1"/>
      <c r="M224" s="1"/>
      <c r="N224" s="232">
        <v>201</v>
      </c>
      <c r="O224" s="233" t="e">
        <f t="shared" si="35"/>
        <v>#NUM!</v>
      </c>
      <c r="P224" s="241" t="e">
        <f t="shared" si="36"/>
        <v>#NUM!</v>
      </c>
      <c r="Q224" s="233" t="e">
        <f t="shared" si="37"/>
        <v>#NUM!</v>
      </c>
      <c r="R224" s="233" t="e">
        <f t="shared" si="38"/>
        <v>#NUM!</v>
      </c>
      <c r="S224" s="240"/>
      <c r="T224" s="233" t="e">
        <f t="shared" si="39"/>
        <v>#NUM!</v>
      </c>
      <c r="U224" s="226"/>
      <c r="V224" s="226"/>
      <c r="W224" s="226"/>
      <c r="X224" s="230"/>
      <c r="Y224" s="1"/>
    </row>
    <row r="225" spans="1:25" ht="15.75" x14ac:dyDescent="0.3">
      <c r="A225" s="1"/>
      <c r="B225" s="232">
        <v>202</v>
      </c>
      <c r="C225" s="233" t="e">
        <f t="shared" si="30"/>
        <v>#NUM!</v>
      </c>
      <c r="D225" s="241" t="e">
        <f t="shared" si="31"/>
        <v>#NUM!</v>
      </c>
      <c r="E225" s="233" t="e">
        <f t="shared" si="32"/>
        <v>#NUM!</v>
      </c>
      <c r="F225" s="233" t="e">
        <f t="shared" si="33"/>
        <v>#NUM!</v>
      </c>
      <c r="G225" s="240"/>
      <c r="H225" s="233" t="e">
        <f t="shared" si="34"/>
        <v>#NUM!</v>
      </c>
      <c r="I225" s="1"/>
      <c r="K225" s="227"/>
      <c r="L225" s="1"/>
      <c r="M225" s="1"/>
      <c r="N225" s="232">
        <v>202</v>
      </c>
      <c r="O225" s="233" t="e">
        <f t="shared" si="35"/>
        <v>#NUM!</v>
      </c>
      <c r="P225" s="241" t="e">
        <f t="shared" si="36"/>
        <v>#NUM!</v>
      </c>
      <c r="Q225" s="233" t="e">
        <f t="shared" si="37"/>
        <v>#NUM!</v>
      </c>
      <c r="R225" s="233" t="e">
        <f t="shared" si="38"/>
        <v>#NUM!</v>
      </c>
      <c r="S225" s="240"/>
      <c r="T225" s="233" t="e">
        <f t="shared" si="39"/>
        <v>#NUM!</v>
      </c>
      <c r="U225" s="226"/>
      <c r="V225" s="226"/>
      <c r="W225" s="226"/>
      <c r="X225" s="230"/>
      <c r="Y225" s="1"/>
    </row>
    <row r="226" spans="1:25" ht="15.75" x14ac:dyDescent="0.3">
      <c r="A226" s="1"/>
      <c r="B226" s="232">
        <v>203</v>
      </c>
      <c r="C226" s="233" t="e">
        <f t="shared" si="30"/>
        <v>#NUM!</v>
      </c>
      <c r="D226" s="241" t="e">
        <f t="shared" si="31"/>
        <v>#NUM!</v>
      </c>
      <c r="E226" s="233" t="e">
        <f t="shared" si="32"/>
        <v>#NUM!</v>
      </c>
      <c r="F226" s="233" t="e">
        <f t="shared" si="33"/>
        <v>#NUM!</v>
      </c>
      <c r="G226" s="240"/>
      <c r="H226" s="233" t="e">
        <f t="shared" si="34"/>
        <v>#NUM!</v>
      </c>
      <c r="I226" s="1"/>
      <c r="K226" s="227"/>
      <c r="L226" s="1"/>
      <c r="M226" s="1"/>
      <c r="N226" s="232">
        <v>203</v>
      </c>
      <c r="O226" s="233" t="e">
        <f t="shared" si="35"/>
        <v>#NUM!</v>
      </c>
      <c r="P226" s="241" t="e">
        <f t="shared" si="36"/>
        <v>#NUM!</v>
      </c>
      <c r="Q226" s="233" t="e">
        <f t="shared" si="37"/>
        <v>#NUM!</v>
      </c>
      <c r="R226" s="233" t="e">
        <f t="shared" si="38"/>
        <v>#NUM!</v>
      </c>
      <c r="S226" s="240"/>
      <c r="T226" s="233" t="e">
        <f t="shared" si="39"/>
        <v>#NUM!</v>
      </c>
      <c r="U226" s="226"/>
      <c r="V226" s="226"/>
      <c r="W226" s="226"/>
      <c r="X226" s="230"/>
      <c r="Y226" s="1"/>
    </row>
    <row r="227" spans="1:25" ht="15.75" x14ac:dyDescent="0.3">
      <c r="A227" s="1"/>
      <c r="B227" s="232">
        <v>204</v>
      </c>
      <c r="C227" s="233" t="e">
        <f t="shared" si="30"/>
        <v>#NUM!</v>
      </c>
      <c r="D227" s="241" t="e">
        <f t="shared" si="31"/>
        <v>#NUM!</v>
      </c>
      <c r="E227" s="233" t="e">
        <f t="shared" si="32"/>
        <v>#NUM!</v>
      </c>
      <c r="F227" s="233" t="e">
        <f t="shared" si="33"/>
        <v>#NUM!</v>
      </c>
      <c r="G227" s="240"/>
      <c r="H227" s="233" t="e">
        <f t="shared" si="34"/>
        <v>#NUM!</v>
      </c>
      <c r="I227" s="1"/>
      <c r="K227" s="227"/>
      <c r="L227" s="1"/>
      <c r="M227" s="1"/>
      <c r="N227" s="232">
        <v>204</v>
      </c>
      <c r="O227" s="233" t="e">
        <f t="shared" si="35"/>
        <v>#NUM!</v>
      </c>
      <c r="P227" s="241" t="e">
        <f t="shared" si="36"/>
        <v>#NUM!</v>
      </c>
      <c r="Q227" s="233" t="e">
        <f t="shared" si="37"/>
        <v>#NUM!</v>
      </c>
      <c r="R227" s="233" t="e">
        <f t="shared" si="38"/>
        <v>#NUM!</v>
      </c>
      <c r="S227" s="240"/>
      <c r="T227" s="233" t="e">
        <f t="shared" si="39"/>
        <v>#NUM!</v>
      </c>
      <c r="U227" s="226"/>
      <c r="V227" s="226"/>
      <c r="W227" s="226"/>
      <c r="X227" s="230"/>
      <c r="Y227" s="1"/>
    </row>
    <row r="228" spans="1:25" ht="15.75" x14ac:dyDescent="0.3">
      <c r="A228" s="1"/>
      <c r="B228" s="232">
        <v>205</v>
      </c>
      <c r="C228" s="233" t="e">
        <f t="shared" si="30"/>
        <v>#NUM!</v>
      </c>
      <c r="D228" s="241" t="e">
        <f t="shared" si="31"/>
        <v>#NUM!</v>
      </c>
      <c r="E228" s="233" t="e">
        <f t="shared" si="32"/>
        <v>#NUM!</v>
      </c>
      <c r="F228" s="233" t="e">
        <f t="shared" si="33"/>
        <v>#NUM!</v>
      </c>
      <c r="G228" s="240"/>
      <c r="H228" s="233" t="e">
        <f t="shared" si="34"/>
        <v>#NUM!</v>
      </c>
      <c r="I228" s="1"/>
      <c r="K228" s="227"/>
      <c r="L228" s="1"/>
      <c r="M228" s="1"/>
      <c r="N228" s="232">
        <v>205</v>
      </c>
      <c r="O228" s="233" t="e">
        <f t="shared" si="35"/>
        <v>#NUM!</v>
      </c>
      <c r="P228" s="241" t="e">
        <f t="shared" si="36"/>
        <v>#NUM!</v>
      </c>
      <c r="Q228" s="233" t="e">
        <f t="shared" si="37"/>
        <v>#NUM!</v>
      </c>
      <c r="R228" s="233" t="e">
        <f t="shared" si="38"/>
        <v>#NUM!</v>
      </c>
      <c r="S228" s="240"/>
      <c r="T228" s="233" t="e">
        <f t="shared" si="39"/>
        <v>#NUM!</v>
      </c>
      <c r="U228" s="226"/>
      <c r="V228" s="226"/>
      <c r="W228" s="226"/>
      <c r="X228" s="230"/>
      <c r="Y228" s="1"/>
    </row>
    <row r="229" spans="1:25" ht="15.75" x14ac:dyDescent="0.3">
      <c r="A229" s="1"/>
      <c r="B229" s="232">
        <v>206</v>
      </c>
      <c r="C229" s="233" t="e">
        <f t="shared" si="30"/>
        <v>#NUM!</v>
      </c>
      <c r="D229" s="241" t="e">
        <f t="shared" si="31"/>
        <v>#NUM!</v>
      </c>
      <c r="E229" s="233" t="e">
        <f t="shared" si="32"/>
        <v>#NUM!</v>
      </c>
      <c r="F229" s="233" t="e">
        <f t="shared" si="33"/>
        <v>#NUM!</v>
      </c>
      <c r="G229" s="240"/>
      <c r="H229" s="233" t="e">
        <f t="shared" si="34"/>
        <v>#NUM!</v>
      </c>
      <c r="I229" s="1"/>
      <c r="K229" s="227"/>
      <c r="L229" s="1"/>
      <c r="M229" s="1"/>
      <c r="N229" s="232">
        <v>206</v>
      </c>
      <c r="O229" s="233" t="e">
        <f t="shared" si="35"/>
        <v>#NUM!</v>
      </c>
      <c r="P229" s="241" t="e">
        <f t="shared" si="36"/>
        <v>#NUM!</v>
      </c>
      <c r="Q229" s="233" t="e">
        <f t="shared" si="37"/>
        <v>#NUM!</v>
      </c>
      <c r="R229" s="233" t="e">
        <f t="shared" si="38"/>
        <v>#NUM!</v>
      </c>
      <c r="S229" s="240"/>
      <c r="T229" s="233" t="e">
        <f t="shared" si="39"/>
        <v>#NUM!</v>
      </c>
      <c r="U229" s="226"/>
      <c r="V229" s="226"/>
      <c r="W229" s="226"/>
      <c r="X229" s="230"/>
      <c r="Y229" s="1"/>
    </row>
    <row r="230" spans="1:25" ht="15.75" x14ac:dyDescent="0.3">
      <c r="A230" s="1"/>
      <c r="B230" s="232">
        <v>207</v>
      </c>
      <c r="C230" s="233" t="e">
        <f t="shared" si="30"/>
        <v>#NUM!</v>
      </c>
      <c r="D230" s="241" t="e">
        <f t="shared" si="31"/>
        <v>#NUM!</v>
      </c>
      <c r="E230" s="233" t="e">
        <f t="shared" si="32"/>
        <v>#NUM!</v>
      </c>
      <c r="F230" s="233" t="e">
        <f t="shared" si="33"/>
        <v>#NUM!</v>
      </c>
      <c r="G230" s="240"/>
      <c r="H230" s="233" t="e">
        <f t="shared" si="34"/>
        <v>#NUM!</v>
      </c>
      <c r="I230" s="1"/>
      <c r="K230" s="227"/>
      <c r="L230" s="1"/>
      <c r="M230" s="1"/>
      <c r="N230" s="232">
        <v>207</v>
      </c>
      <c r="O230" s="233" t="e">
        <f t="shared" si="35"/>
        <v>#NUM!</v>
      </c>
      <c r="P230" s="241" t="e">
        <f t="shared" si="36"/>
        <v>#NUM!</v>
      </c>
      <c r="Q230" s="233" t="e">
        <f t="shared" si="37"/>
        <v>#NUM!</v>
      </c>
      <c r="R230" s="233" t="e">
        <f t="shared" si="38"/>
        <v>#NUM!</v>
      </c>
      <c r="S230" s="240"/>
      <c r="T230" s="233" t="e">
        <f t="shared" si="39"/>
        <v>#NUM!</v>
      </c>
      <c r="U230" s="226"/>
      <c r="V230" s="226"/>
      <c r="W230" s="226"/>
      <c r="X230" s="230"/>
      <c r="Y230" s="1"/>
    </row>
    <row r="231" spans="1:25" ht="15.75" x14ac:dyDescent="0.3">
      <c r="A231" s="1"/>
      <c r="B231" s="232">
        <v>208</v>
      </c>
      <c r="C231" s="233" t="e">
        <f t="shared" si="30"/>
        <v>#NUM!</v>
      </c>
      <c r="D231" s="241" t="e">
        <f t="shared" si="31"/>
        <v>#NUM!</v>
      </c>
      <c r="E231" s="233" t="e">
        <f t="shared" si="32"/>
        <v>#NUM!</v>
      </c>
      <c r="F231" s="233" t="e">
        <f t="shared" si="33"/>
        <v>#NUM!</v>
      </c>
      <c r="G231" s="240"/>
      <c r="H231" s="233" t="e">
        <f t="shared" si="34"/>
        <v>#NUM!</v>
      </c>
      <c r="I231" s="1"/>
      <c r="K231" s="227"/>
      <c r="L231" s="1"/>
      <c r="M231" s="1"/>
      <c r="N231" s="232">
        <v>208</v>
      </c>
      <c r="O231" s="233" t="e">
        <f t="shared" si="35"/>
        <v>#NUM!</v>
      </c>
      <c r="P231" s="241" t="e">
        <f t="shared" si="36"/>
        <v>#NUM!</v>
      </c>
      <c r="Q231" s="233" t="e">
        <f t="shared" si="37"/>
        <v>#NUM!</v>
      </c>
      <c r="R231" s="233" t="e">
        <f t="shared" si="38"/>
        <v>#NUM!</v>
      </c>
      <c r="S231" s="240"/>
      <c r="T231" s="233" t="e">
        <f t="shared" si="39"/>
        <v>#NUM!</v>
      </c>
      <c r="U231" s="226"/>
      <c r="V231" s="226"/>
      <c r="W231" s="226"/>
      <c r="X231" s="230"/>
      <c r="Y231" s="1"/>
    </row>
    <row r="232" spans="1:25" ht="15.75" x14ac:dyDescent="0.3">
      <c r="A232" s="1"/>
      <c r="B232" s="232">
        <v>209</v>
      </c>
      <c r="C232" s="233" t="e">
        <f t="shared" ref="C232:C263" si="40">IF(H231&lt;-PMT(H$28,H$27,$F$31),H231*(1+$H$28),-PMT(H$28,H$27,$F$31))</f>
        <v>#NUM!</v>
      </c>
      <c r="D232" s="241" t="e">
        <f t="shared" ref="D232:D263" si="41">H231*$H$28</f>
        <v>#NUM!</v>
      </c>
      <c r="E232" s="233" t="e">
        <f t="shared" ref="E232:E263" si="42">C232-D232</f>
        <v>#NUM!</v>
      </c>
      <c r="F232" s="233" t="e">
        <f t="shared" ref="F232:F263" si="43">H231-E232</f>
        <v>#NUM!</v>
      </c>
      <c r="G232" s="240"/>
      <c r="H232" s="233" t="e">
        <f t="shared" ref="H232:H263" si="44">F232-G232</f>
        <v>#NUM!</v>
      </c>
      <c r="I232" s="1"/>
      <c r="K232" s="227"/>
      <c r="L232" s="1"/>
      <c r="M232" s="1"/>
      <c r="N232" s="232">
        <v>209</v>
      </c>
      <c r="O232" s="233" t="e">
        <f t="shared" ref="O232:O263" si="45">IF(T231&lt;-PMT(T$28,T$27,$F$31),T231*(1+$H$28),-PMT(T$28,T$27,$F$31))</f>
        <v>#NUM!</v>
      </c>
      <c r="P232" s="241" t="e">
        <f t="shared" ref="P232:P263" si="46">T231*$H$28</f>
        <v>#NUM!</v>
      </c>
      <c r="Q232" s="233" t="e">
        <f t="shared" ref="Q232:Q263" si="47">O232-P232</f>
        <v>#NUM!</v>
      </c>
      <c r="R232" s="233" t="e">
        <f t="shared" ref="R232:R263" si="48">T231-Q232</f>
        <v>#NUM!</v>
      </c>
      <c r="S232" s="240"/>
      <c r="T232" s="233" t="e">
        <f t="shared" ref="T232:T263" si="49">R232-S232</f>
        <v>#NUM!</v>
      </c>
      <c r="U232" s="226"/>
      <c r="V232" s="226"/>
      <c r="W232" s="226"/>
      <c r="X232" s="230"/>
      <c r="Y232" s="1"/>
    </row>
    <row r="233" spans="1:25" ht="15.75" x14ac:dyDescent="0.3">
      <c r="A233" s="1"/>
      <c r="B233" s="232">
        <v>210</v>
      </c>
      <c r="C233" s="233" t="e">
        <f t="shared" si="40"/>
        <v>#NUM!</v>
      </c>
      <c r="D233" s="241" t="e">
        <f t="shared" si="41"/>
        <v>#NUM!</v>
      </c>
      <c r="E233" s="233" t="e">
        <f t="shared" si="42"/>
        <v>#NUM!</v>
      </c>
      <c r="F233" s="233" t="e">
        <f t="shared" si="43"/>
        <v>#NUM!</v>
      </c>
      <c r="G233" s="240"/>
      <c r="H233" s="233" t="e">
        <f t="shared" si="44"/>
        <v>#NUM!</v>
      </c>
      <c r="I233" s="1"/>
      <c r="K233" s="227"/>
      <c r="L233" s="1"/>
      <c r="M233" s="1"/>
      <c r="N233" s="232">
        <v>210</v>
      </c>
      <c r="O233" s="233" t="e">
        <f t="shared" si="45"/>
        <v>#NUM!</v>
      </c>
      <c r="P233" s="241" t="e">
        <f t="shared" si="46"/>
        <v>#NUM!</v>
      </c>
      <c r="Q233" s="233" t="e">
        <f t="shared" si="47"/>
        <v>#NUM!</v>
      </c>
      <c r="R233" s="233" t="e">
        <f t="shared" si="48"/>
        <v>#NUM!</v>
      </c>
      <c r="S233" s="240"/>
      <c r="T233" s="233" t="e">
        <f t="shared" si="49"/>
        <v>#NUM!</v>
      </c>
      <c r="U233" s="226"/>
      <c r="V233" s="226"/>
      <c r="W233" s="226"/>
      <c r="X233" s="230"/>
      <c r="Y233" s="1"/>
    </row>
    <row r="234" spans="1:25" ht="15.75" x14ac:dyDescent="0.3">
      <c r="A234" s="1"/>
      <c r="B234" s="232">
        <v>211</v>
      </c>
      <c r="C234" s="233" t="e">
        <f t="shared" si="40"/>
        <v>#NUM!</v>
      </c>
      <c r="D234" s="241" t="e">
        <f t="shared" si="41"/>
        <v>#NUM!</v>
      </c>
      <c r="E234" s="233" t="e">
        <f t="shared" si="42"/>
        <v>#NUM!</v>
      </c>
      <c r="F234" s="233" t="e">
        <f t="shared" si="43"/>
        <v>#NUM!</v>
      </c>
      <c r="G234" s="240"/>
      <c r="H234" s="233" t="e">
        <f t="shared" si="44"/>
        <v>#NUM!</v>
      </c>
      <c r="I234" s="1"/>
      <c r="K234" s="227"/>
      <c r="L234" s="1"/>
      <c r="M234" s="1"/>
      <c r="N234" s="232">
        <v>211</v>
      </c>
      <c r="O234" s="233" t="e">
        <f t="shared" si="45"/>
        <v>#NUM!</v>
      </c>
      <c r="P234" s="241" t="e">
        <f t="shared" si="46"/>
        <v>#NUM!</v>
      </c>
      <c r="Q234" s="233" t="e">
        <f t="shared" si="47"/>
        <v>#NUM!</v>
      </c>
      <c r="R234" s="233" t="e">
        <f t="shared" si="48"/>
        <v>#NUM!</v>
      </c>
      <c r="S234" s="240"/>
      <c r="T234" s="233" t="e">
        <f t="shared" si="49"/>
        <v>#NUM!</v>
      </c>
      <c r="U234" s="226"/>
      <c r="V234" s="226"/>
      <c r="W234" s="226"/>
      <c r="X234" s="230"/>
      <c r="Y234" s="1"/>
    </row>
    <row r="235" spans="1:25" ht="15.75" x14ac:dyDescent="0.3">
      <c r="A235" s="1"/>
      <c r="B235" s="232">
        <v>212</v>
      </c>
      <c r="C235" s="233" t="e">
        <f t="shared" si="40"/>
        <v>#NUM!</v>
      </c>
      <c r="D235" s="241" t="e">
        <f t="shared" si="41"/>
        <v>#NUM!</v>
      </c>
      <c r="E235" s="233" t="e">
        <f t="shared" si="42"/>
        <v>#NUM!</v>
      </c>
      <c r="F235" s="233" t="e">
        <f t="shared" si="43"/>
        <v>#NUM!</v>
      </c>
      <c r="G235" s="240"/>
      <c r="H235" s="233" t="e">
        <f t="shared" si="44"/>
        <v>#NUM!</v>
      </c>
      <c r="I235" s="1"/>
      <c r="K235" s="227"/>
      <c r="L235" s="1"/>
      <c r="M235" s="1"/>
      <c r="N235" s="232">
        <v>212</v>
      </c>
      <c r="O235" s="233" t="e">
        <f t="shared" si="45"/>
        <v>#NUM!</v>
      </c>
      <c r="P235" s="241" t="e">
        <f t="shared" si="46"/>
        <v>#NUM!</v>
      </c>
      <c r="Q235" s="233" t="e">
        <f t="shared" si="47"/>
        <v>#NUM!</v>
      </c>
      <c r="R235" s="233" t="e">
        <f t="shared" si="48"/>
        <v>#NUM!</v>
      </c>
      <c r="S235" s="240"/>
      <c r="T235" s="233" t="e">
        <f t="shared" si="49"/>
        <v>#NUM!</v>
      </c>
      <c r="U235" s="226"/>
      <c r="V235" s="226"/>
      <c r="W235" s="226"/>
      <c r="X235" s="230"/>
      <c r="Y235" s="1"/>
    </row>
    <row r="236" spans="1:25" ht="15.75" x14ac:dyDescent="0.3">
      <c r="A236" s="1"/>
      <c r="B236" s="232">
        <v>213</v>
      </c>
      <c r="C236" s="233" t="e">
        <f t="shared" si="40"/>
        <v>#NUM!</v>
      </c>
      <c r="D236" s="241" t="e">
        <f t="shared" si="41"/>
        <v>#NUM!</v>
      </c>
      <c r="E236" s="233" t="e">
        <f t="shared" si="42"/>
        <v>#NUM!</v>
      </c>
      <c r="F236" s="233" t="e">
        <f t="shared" si="43"/>
        <v>#NUM!</v>
      </c>
      <c r="G236" s="240"/>
      <c r="H236" s="233" t="e">
        <f t="shared" si="44"/>
        <v>#NUM!</v>
      </c>
      <c r="I236" s="1"/>
      <c r="K236" s="227"/>
      <c r="L236" s="1"/>
      <c r="M236" s="1"/>
      <c r="N236" s="232">
        <v>213</v>
      </c>
      <c r="O236" s="233" t="e">
        <f t="shared" si="45"/>
        <v>#NUM!</v>
      </c>
      <c r="P236" s="241" t="e">
        <f t="shared" si="46"/>
        <v>#NUM!</v>
      </c>
      <c r="Q236" s="233" t="e">
        <f t="shared" si="47"/>
        <v>#NUM!</v>
      </c>
      <c r="R236" s="233" t="e">
        <f t="shared" si="48"/>
        <v>#NUM!</v>
      </c>
      <c r="S236" s="240"/>
      <c r="T236" s="233" t="e">
        <f t="shared" si="49"/>
        <v>#NUM!</v>
      </c>
      <c r="U236" s="226"/>
      <c r="V236" s="226"/>
      <c r="W236" s="226"/>
      <c r="X236" s="230"/>
      <c r="Y236" s="1"/>
    </row>
    <row r="237" spans="1:25" ht="15.75" x14ac:dyDescent="0.3">
      <c r="A237" s="1"/>
      <c r="B237" s="232">
        <v>214</v>
      </c>
      <c r="C237" s="233" t="e">
        <f t="shared" si="40"/>
        <v>#NUM!</v>
      </c>
      <c r="D237" s="241" t="e">
        <f t="shared" si="41"/>
        <v>#NUM!</v>
      </c>
      <c r="E237" s="233" t="e">
        <f t="shared" si="42"/>
        <v>#NUM!</v>
      </c>
      <c r="F237" s="233" t="e">
        <f t="shared" si="43"/>
        <v>#NUM!</v>
      </c>
      <c r="G237" s="240"/>
      <c r="H237" s="233" t="e">
        <f t="shared" si="44"/>
        <v>#NUM!</v>
      </c>
      <c r="I237" s="1"/>
      <c r="K237" s="227"/>
      <c r="L237" s="1"/>
      <c r="M237" s="1"/>
      <c r="N237" s="232">
        <v>214</v>
      </c>
      <c r="O237" s="233" t="e">
        <f t="shared" si="45"/>
        <v>#NUM!</v>
      </c>
      <c r="P237" s="241" t="e">
        <f t="shared" si="46"/>
        <v>#NUM!</v>
      </c>
      <c r="Q237" s="233" t="e">
        <f t="shared" si="47"/>
        <v>#NUM!</v>
      </c>
      <c r="R237" s="233" t="e">
        <f t="shared" si="48"/>
        <v>#NUM!</v>
      </c>
      <c r="S237" s="240"/>
      <c r="T237" s="233" t="e">
        <f t="shared" si="49"/>
        <v>#NUM!</v>
      </c>
      <c r="U237" s="226"/>
      <c r="V237" s="226"/>
      <c r="W237" s="226"/>
      <c r="X237" s="230"/>
      <c r="Y237" s="1"/>
    </row>
    <row r="238" spans="1:25" ht="15.75" x14ac:dyDescent="0.3">
      <c r="A238" s="1"/>
      <c r="B238" s="232">
        <v>215</v>
      </c>
      <c r="C238" s="233" t="e">
        <f t="shared" si="40"/>
        <v>#NUM!</v>
      </c>
      <c r="D238" s="241" t="e">
        <f t="shared" si="41"/>
        <v>#NUM!</v>
      </c>
      <c r="E238" s="233" t="e">
        <f t="shared" si="42"/>
        <v>#NUM!</v>
      </c>
      <c r="F238" s="233" t="e">
        <f t="shared" si="43"/>
        <v>#NUM!</v>
      </c>
      <c r="G238" s="240"/>
      <c r="H238" s="233" t="e">
        <f t="shared" si="44"/>
        <v>#NUM!</v>
      </c>
      <c r="I238" s="1"/>
      <c r="K238" s="227"/>
      <c r="L238" s="1"/>
      <c r="M238" s="1"/>
      <c r="N238" s="232">
        <v>215</v>
      </c>
      <c r="O238" s="233" t="e">
        <f t="shared" si="45"/>
        <v>#NUM!</v>
      </c>
      <c r="P238" s="241" t="e">
        <f t="shared" si="46"/>
        <v>#NUM!</v>
      </c>
      <c r="Q238" s="233" t="e">
        <f t="shared" si="47"/>
        <v>#NUM!</v>
      </c>
      <c r="R238" s="233" t="e">
        <f t="shared" si="48"/>
        <v>#NUM!</v>
      </c>
      <c r="S238" s="240"/>
      <c r="T238" s="233" t="e">
        <f t="shared" si="49"/>
        <v>#NUM!</v>
      </c>
      <c r="U238" s="226"/>
      <c r="V238" s="226"/>
      <c r="W238" s="226"/>
      <c r="X238" s="230"/>
      <c r="Y238" s="1"/>
    </row>
    <row r="239" spans="1:25" ht="15.75" x14ac:dyDescent="0.3">
      <c r="A239" s="1"/>
      <c r="B239" s="232">
        <v>216</v>
      </c>
      <c r="C239" s="233" t="e">
        <f t="shared" si="40"/>
        <v>#NUM!</v>
      </c>
      <c r="D239" s="241" t="e">
        <f t="shared" si="41"/>
        <v>#NUM!</v>
      </c>
      <c r="E239" s="233" t="e">
        <f t="shared" si="42"/>
        <v>#NUM!</v>
      </c>
      <c r="F239" s="233" t="e">
        <f t="shared" si="43"/>
        <v>#NUM!</v>
      </c>
      <c r="G239" s="240"/>
      <c r="H239" s="233" t="e">
        <f t="shared" si="44"/>
        <v>#NUM!</v>
      </c>
      <c r="I239" s="1"/>
      <c r="K239" s="227"/>
      <c r="L239" s="1"/>
      <c r="M239" s="1"/>
      <c r="N239" s="232">
        <v>216</v>
      </c>
      <c r="O239" s="233" t="e">
        <f t="shared" si="45"/>
        <v>#NUM!</v>
      </c>
      <c r="P239" s="241" t="e">
        <f t="shared" si="46"/>
        <v>#NUM!</v>
      </c>
      <c r="Q239" s="233" t="e">
        <f t="shared" si="47"/>
        <v>#NUM!</v>
      </c>
      <c r="R239" s="233" t="e">
        <f t="shared" si="48"/>
        <v>#NUM!</v>
      </c>
      <c r="S239" s="240"/>
      <c r="T239" s="233" t="e">
        <f t="shared" si="49"/>
        <v>#NUM!</v>
      </c>
      <c r="U239" s="226"/>
      <c r="V239" s="226"/>
      <c r="W239" s="226"/>
      <c r="X239" s="230"/>
      <c r="Y239" s="1"/>
    </row>
    <row r="240" spans="1:25" ht="15.75" x14ac:dyDescent="0.3">
      <c r="A240" s="1"/>
      <c r="B240" s="232">
        <v>217</v>
      </c>
      <c r="C240" s="233" t="e">
        <f t="shared" si="40"/>
        <v>#NUM!</v>
      </c>
      <c r="D240" s="241" t="e">
        <f t="shared" si="41"/>
        <v>#NUM!</v>
      </c>
      <c r="E240" s="233" t="e">
        <f t="shared" si="42"/>
        <v>#NUM!</v>
      </c>
      <c r="F240" s="233" t="e">
        <f t="shared" si="43"/>
        <v>#NUM!</v>
      </c>
      <c r="G240" s="240"/>
      <c r="H240" s="233" t="e">
        <f t="shared" si="44"/>
        <v>#NUM!</v>
      </c>
      <c r="I240" s="1"/>
      <c r="K240" s="227"/>
      <c r="L240" s="1"/>
      <c r="M240" s="1"/>
      <c r="N240" s="232">
        <v>217</v>
      </c>
      <c r="O240" s="233" t="e">
        <f t="shared" si="45"/>
        <v>#NUM!</v>
      </c>
      <c r="P240" s="241" t="e">
        <f t="shared" si="46"/>
        <v>#NUM!</v>
      </c>
      <c r="Q240" s="233" t="e">
        <f t="shared" si="47"/>
        <v>#NUM!</v>
      </c>
      <c r="R240" s="233" t="e">
        <f t="shared" si="48"/>
        <v>#NUM!</v>
      </c>
      <c r="S240" s="240"/>
      <c r="T240" s="233" t="e">
        <f t="shared" si="49"/>
        <v>#NUM!</v>
      </c>
      <c r="U240" s="226"/>
      <c r="V240" s="226"/>
      <c r="W240" s="226"/>
      <c r="X240" s="230"/>
      <c r="Y240" s="1"/>
    </row>
    <row r="241" spans="1:25" ht="15.75" x14ac:dyDescent="0.3">
      <c r="A241" s="1"/>
      <c r="B241" s="232">
        <v>218</v>
      </c>
      <c r="C241" s="233" t="e">
        <f t="shared" si="40"/>
        <v>#NUM!</v>
      </c>
      <c r="D241" s="241" t="e">
        <f t="shared" si="41"/>
        <v>#NUM!</v>
      </c>
      <c r="E241" s="233" t="e">
        <f t="shared" si="42"/>
        <v>#NUM!</v>
      </c>
      <c r="F241" s="233" t="e">
        <f t="shared" si="43"/>
        <v>#NUM!</v>
      </c>
      <c r="G241" s="240"/>
      <c r="H241" s="233" t="e">
        <f t="shared" si="44"/>
        <v>#NUM!</v>
      </c>
      <c r="I241" s="1"/>
      <c r="K241" s="227"/>
      <c r="L241" s="1"/>
      <c r="M241" s="1"/>
      <c r="N241" s="232">
        <v>218</v>
      </c>
      <c r="O241" s="233" t="e">
        <f t="shared" si="45"/>
        <v>#NUM!</v>
      </c>
      <c r="P241" s="241" t="e">
        <f t="shared" si="46"/>
        <v>#NUM!</v>
      </c>
      <c r="Q241" s="233" t="e">
        <f t="shared" si="47"/>
        <v>#NUM!</v>
      </c>
      <c r="R241" s="233" t="e">
        <f t="shared" si="48"/>
        <v>#NUM!</v>
      </c>
      <c r="S241" s="240"/>
      <c r="T241" s="233" t="e">
        <f t="shared" si="49"/>
        <v>#NUM!</v>
      </c>
      <c r="U241" s="226"/>
      <c r="V241" s="226"/>
      <c r="W241" s="226"/>
      <c r="X241" s="230"/>
      <c r="Y241" s="1"/>
    </row>
    <row r="242" spans="1:25" ht="15.75" x14ac:dyDescent="0.3">
      <c r="A242" s="1"/>
      <c r="B242" s="232">
        <v>219</v>
      </c>
      <c r="C242" s="233" t="e">
        <f t="shared" si="40"/>
        <v>#NUM!</v>
      </c>
      <c r="D242" s="241" t="e">
        <f t="shared" si="41"/>
        <v>#NUM!</v>
      </c>
      <c r="E242" s="233" t="e">
        <f t="shared" si="42"/>
        <v>#NUM!</v>
      </c>
      <c r="F242" s="233" t="e">
        <f t="shared" si="43"/>
        <v>#NUM!</v>
      </c>
      <c r="G242" s="240"/>
      <c r="H242" s="233" t="e">
        <f t="shared" si="44"/>
        <v>#NUM!</v>
      </c>
      <c r="I242" s="1"/>
      <c r="K242" s="227"/>
      <c r="L242" s="1"/>
      <c r="M242" s="1"/>
      <c r="N242" s="232">
        <v>219</v>
      </c>
      <c r="O242" s="233" t="e">
        <f t="shared" si="45"/>
        <v>#NUM!</v>
      </c>
      <c r="P242" s="241" t="e">
        <f t="shared" si="46"/>
        <v>#NUM!</v>
      </c>
      <c r="Q242" s="233" t="e">
        <f t="shared" si="47"/>
        <v>#NUM!</v>
      </c>
      <c r="R242" s="233" t="e">
        <f t="shared" si="48"/>
        <v>#NUM!</v>
      </c>
      <c r="S242" s="240"/>
      <c r="T242" s="233" t="e">
        <f t="shared" si="49"/>
        <v>#NUM!</v>
      </c>
      <c r="U242" s="226"/>
      <c r="V242" s="226"/>
      <c r="W242" s="226"/>
      <c r="X242" s="230"/>
      <c r="Y242" s="1"/>
    </row>
    <row r="243" spans="1:25" ht="15.75" x14ac:dyDescent="0.3">
      <c r="A243" s="1"/>
      <c r="B243" s="232">
        <v>220</v>
      </c>
      <c r="C243" s="233" t="e">
        <f t="shared" si="40"/>
        <v>#NUM!</v>
      </c>
      <c r="D243" s="241" t="e">
        <f t="shared" si="41"/>
        <v>#NUM!</v>
      </c>
      <c r="E243" s="233" t="e">
        <f t="shared" si="42"/>
        <v>#NUM!</v>
      </c>
      <c r="F243" s="233" t="e">
        <f t="shared" si="43"/>
        <v>#NUM!</v>
      </c>
      <c r="G243" s="240"/>
      <c r="H243" s="233" t="e">
        <f t="shared" si="44"/>
        <v>#NUM!</v>
      </c>
      <c r="I243" s="1"/>
      <c r="K243" s="227"/>
      <c r="L243" s="1"/>
      <c r="M243" s="1"/>
      <c r="N243" s="232">
        <v>220</v>
      </c>
      <c r="O243" s="233" t="e">
        <f t="shared" si="45"/>
        <v>#NUM!</v>
      </c>
      <c r="P243" s="241" t="e">
        <f t="shared" si="46"/>
        <v>#NUM!</v>
      </c>
      <c r="Q243" s="233" t="e">
        <f t="shared" si="47"/>
        <v>#NUM!</v>
      </c>
      <c r="R243" s="233" t="e">
        <f t="shared" si="48"/>
        <v>#NUM!</v>
      </c>
      <c r="S243" s="240"/>
      <c r="T243" s="233" t="e">
        <f t="shared" si="49"/>
        <v>#NUM!</v>
      </c>
      <c r="U243" s="226"/>
      <c r="V243" s="226"/>
      <c r="W243" s="226"/>
      <c r="X243" s="230"/>
      <c r="Y243" s="1"/>
    </row>
    <row r="244" spans="1:25" ht="15.75" x14ac:dyDescent="0.3">
      <c r="A244" s="1"/>
      <c r="B244" s="232">
        <v>221</v>
      </c>
      <c r="C244" s="233" t="e">
        <f t="shared" si="40"/>
        <v>#NUM!</v>
      </c>
      <c r="D244" s="241" t="e">
        <f t="shared" si="41"/>
        <v>#NUM!</v>
      </c>
      <c r="E244" s="233" t="e">
        <f t="shared" si="42"/>
        <v>#NUM!</v>
      </c>
      <c r="F244" s="233" t="e">
        <f t="shared" si="43"/>
        <v>#NUM!</v>
      </c>
      <c r="G244" s="240"/>
      <c r="H244" s="233" t="e">
        <f t="shared" si="44"/>
        <v>#NUM!</v>
      </c>
      <c r="I244" s="1"/>
      <c r="K244" s="227"/>
      <c r="L244" s="1"/>
      <c r="M244" s="1"/>
      <c r="N244" s="232">
        <v>221</v>
      </c>
      <c r="O244" s="233" t="e">
        <f t="shared" si="45"/>
        <v>#NUM!</v>
      </c>
      <c r="P244" s="241" t="e">
        <f t="shared" si="46"/>
        <v>#NUM!</v>
      </c>
      <c r="Q244" s="233" t="e">
        <f t="shared" si="47"/>
        <v>#NUM!</v>
      </c>
      <c r="R244" s="233" t="e">
        <f t="shared" si="48"/>
        <v>#NUM!</v>
      </c>
      <c r="S244" s="240"/>
      <c r="T244" s="233" t="e">
        <f t="shared" si="49"/>
        <v>#NUM!</v>
      </c>
      <c r="U244" s="226"/>
      <c r="V244" s="226"/>
      <c r="W244" s="226"/>
      <c r="X244" s="230"/>
      <c r="Y244" s="1"/>
    </row>
    <row r="245" spans="1:25" ht="15.75" x14ac:dyDescent="0.3">
      <c r="A245" s="1"/>
      <c r="B245" s="232">
        <v>222</v>
      </c>
      <c r="C245" s="233" t="e">
        <f t="shared" si="40"/>
        <v>#NUM!</v>
      </c>
      <c r="D245" s="241" t="e">
        <f t="shared" si="41"/>
        <v>#NUM!</v>
      </c>
      <c r="E245" s="233" t="e">
        <f t="shared" si="42"/>
        <v>#NUM!</v>
      </c>
      <c r="F245" s="233" t="e">
        <f t="shared" si="43"/>
        <v>#NUM!</v>
      </c>
      <c r="G245" s="240"/>
      <c r="H245" s="233" t="e">
        <f t="shared" si="44"/>
        <v>#NUM!</v>
      </c>
      <c r="I245" s="1"/>
      <c r="K245" s="227"/>
      <c r="L245" s="1"/>
      <c r="M245" s="1"/>
      <c r="N245" s="232">
        <v>222</v>
      </c>
      <c r="O245" s="233" t="e">
        <f t="shared" si="45"/>
        <v>#NUM!</v>
      </c>
      <c r="P245" s="241" t="e">
        <f t="shared" si="46"/>
        <v>#NUM!</v>
      </c>
      <c r="Q245" s="233" t="e">
        <f t="shared" si="47"/>
        <v>#NUM!</v>
      </c>
      <c r="R245" s="233" t="e">
        <f t="shared" si="48"/>
        <v>#NUM!</v>
      </c>
      <c r="S245" s="240"/>
      <c r="T245" s="233" t="e">
        <f t="shared" si="49"/>
        <v>#NUM!</v>
      </c>
      <c r="U245" s="226"/>
      <c r="V245" s="226"/>
      <c r="W245" s="226"/>
      <c r="X245" s="230"/>
      <c r="Y245" s="1"/>
    </row>
    <row r="246" spans="1:25" ht="15.75" x14ac:dyDescent="0.3">
      <c r="A246" s="1"/>
      <c r="B246" s="232">
        <v>223</v>
      </c>
      <c r="C246" s="233" t="e">
        <f t="shared" si="40"/>
        <v>#NUM!</v>
      </c>
      <c r="D246" s="241" t="e">
        <f t="shared" si="41"/>
        <v>#NUM!</v>
      </c>
      <c r="E246" s="233" t="e">
        <f t="shared" si="42"/>
        <v>#NUM!</v>
      </c>
      <c r="F246" s="233" t="e">
        <f t="shared" si="43"/>
        <v>#NUM!</v>
      </c>
      <c r="G246" s="240"/>
      <c r="H246" s="233" t="e">
        <f t="shared" si="44"/>
        <v>#NUM!</v>
      </c>
      <c r="I246" s="1"/>
      <c r="K246" s="227"/>
      <c r="L246" s="1"/>
      <c r="M246" s="1"/>
      <c r="N246" s="232">
        <v>223</v>
      </c>
      <c r="O246" s="233" t="e">
        <f t="shared" si="45"/>
        <v>#NUM!</v>
      </c>
      <c r="P246" s="241" t="e">
        <f t="shared" si="46"/>
        <v>#NUM!</v>
      </c>
      <c r="Q246" s="233" t="e">
        <f t="shared" si="47"/>
        <v>#NUM!</v>
      </c>
      <c r="R246" s="233" t="e">
        <f t="shared" si="48"/>
        <v>#NUM!</v>
      </c>
      <c r="S246" s="240"/>
      <c r="T246" s="233" t="e">
        <f t="shared" si="49"/>
        <v>#NUM!</v>
      </c>
      <c r="U246" s="226"/>
      <c r="V246" s="226"/>
      <c r="W246" s="226"/>
      <c r="X246" s="230"/>
      <c r="Y246" s="1"/>
    </row>
    <row r="247" spans="1:25" ht="15.75" x14ac:dyDescent="0.3">
      <c r="A247" s="1"/>
      <c r="B247" s="232">
        <v>224</v>
      </c>
      <c r="C247" s="233" t="e">
        <f t="shared" si="40"/>
        <v>#NUM!</v>
      </c>
      <c r="D247" s="241" t="e">
        <f t="shared" si="41"/>
        <v>#NUM!</v>
      </c>
      <c r="E247" s="233" t="e">
        <f t="shared" si="42"/>
        <v>#NUM!</v>
      </c>
      <c r="F247" s="233" t="e">
        <f t="shared" si="43"/>
        <v>#NUM!</v>
      </c>
      <c r="G247" s="240"/>
      <c r="H247" s="233" t="e">
        <f t="shared" si="44"/>
        <v>#NUM!</v>
      </c>
      <c r="I247" s="1"/>
      <c r="K247" s="227"/>
      <c r="L247" s="1"/>
      <c r="M247" s="1"/>
      <c r="N247" s="232">
        <v>224</v>
      </c>
      <c r="O247" s="233" t="e">
        <f t="shared" si="45"/>
        <v>#NUM!</v>
      </c>
      <c r="P247" s="241" t="e">
        <f t="shared" si="46"/>
        <v>#NUM!</v>
      </c>
      <c r="Q247" s="233" t="e">
        <f t="shared" si="47"/>
        <v>#NUM!</v>
      </c>
      <c r="R247" s="233" t="e">
        <f t="shared" si="48"/>
        <v>#NUM!</v>
      </c>
      <c r="S247" s="240"/>
      <c r="T247" s="233" t="e">
        <f t="shared" si="49"/>
        <v>#NUM!</v>
      </c>
      <c r="U247" s="226"/>
      <c r="V247" s="226"/>
      <c r="W247" s="226"/>
      <c r="X247" s="230"/>
      <c r="Y247" s="1"/>
    </row>
    <row r="248" spans="1:25" ht="15.75" x14ac:dyDescent="0.3">
      <c r="A248" s="1"/>
      <c r="B248" s="232">
        <v>225</v>
      </c>
      <c r="C248" s="233" t="e">
        <f t="shared" si="40"/>
        <v>#NUM!</v>
      </c>
      <c r="D248" s="241" t="e">
        <f t="shared" si="41"/>
        <v>#NUM!</v>
      </c>
      <c r="E248" s="233" t="e">
        <f t="shared" si="42"/>
        <v>#NUM!</v>
      </c>
      <c r="F248" s="233" t="e">
        <f t="shared" si="43"/>
        <v>#NUM!</v>
      </c>
      <c r="G248" s="240"/>
      <c r="H248" s="233" t="e">
        <f t="shared" si="44"/>
        <v>#NUM!</v>
      </c>
      <c r="I248" s="1"/>
      <c r="K248" s="227"/>
      <c r="L248" s="1"/>
      <c r="M248" s="1"/>
      <c r="N248" s="232">
        <v>225</v>
      </c>
      <c r="O248" s="233" t="e">
        <f t="shared" si="45"/>
        <v>#NUM!</v>
      </c>
      <c r="P248" s="241" t="e">
        <f t="shared" si="46"/>
        <v>#NUM!</v>
      </c>
      <c r="Q248" s="233" t="e">
        <f t="shared" si="47"/>
        <v>#NUM!</v>
      </c>
      <c r="R248" s="233" t="e">
        <f t="shared" si="48"/>
        <v>#NUM!</v>
      </c>
      <c r="S248" s="240"/>
      <c r="T248" s="233" t="e">
        <f t="shared" si="49"/>
        <v>#NUM!</v>
      </c>
      <c r="U248" s="226"/>
      <c r="V248" s="226"/>
      <c r="W248" s="226"/>
      <c r="X248" s="230"/>
      <c r="Y248" s="1"/>
    </row>
    <row r="249" spans="1:25" ht="15.75" x14ac:dyDescent="0.3">
      <c r="A249" s="1"/>
      <c r="B249" s="232">
        <v>226</v>
      </c>
      <c r="C249" s="233" t="e">
        <f t="shared" si="40"/>
        <v>#NUM!</v>
      </c>
      <c r="D249" s="241" t="e">
        <f t="shared" si="41"/>
        <v>#NUM!</v>
      </c>
      <c r="E249" s="233" t="e">
        <f t="shared" si="42"/>
        <v>#NUM!</v>
      </c>
      <c r="F249" s="233" t="e">
        <f t="shared" si="43"/>
        <v>#NUM!</v>
      </c>
      <c r="G249" s="240"/>
      <c r="H249" s="233" t="e">
        <f t="shared" si="44"/>
        <v>#NUM!</v>
      </c>
      <c r="I249" s="1"/>
      <c r="K249" s="227"/>
      <c r="L249" s="1"/>
      <c r="M249" s="1"/>
      <c r="N249" s="232">
        <v>226</v>
      </c>
      <c r="O249" s="233" t="e">
        <f t="shared" si="45"/>
        <v>#NUM!</v>
      </c>
      <c r="P249" s="241" t="e">
        <f t="shared" si="46"/>
        <v>#NUM!</v>
      </c>
      <c r="Q249" s="233" t="e">
        <f t="shared" si="47"/>
        <v>#NUM!</v>
      </c>
      <c r="R249" s="233" t="e">
        <f t="shared" si="48"/>
        <v>#NUM!</v>
      </c>
      <c r="S249" s="240"/>
      <c r="T249" s="233" t="e">
        <f t="shared" si="49"/>
        <v>#NUM!</v>
      </c>
      <c r="U249" s="226"/>
      <c r="V249" s="226"/>
      <c r="W249" s="226"/>
      <c r="X249" s="230"/>
      <c r="Y249" s="1"/>
    </row>
    <row r="250" spans="1:25" ht="15.75" x14ac:dyDescent="0.3">
      <c r="A250" s="1"/>
      <c r="B250" s="232">
        <v>227</v>
      </c>
      <c r="C250" s="233" t="e">
        <f t="shared" si="40"/>
        <v>#NUM!</v>
      </c>
      <c r="D250" s="241" t="e">
        <f t="shared" si="41"/>
        <v>#NUM!</v>
      </c>
      <c r="E250" s="233" t="e">
        <f t="shared" si="42"/>
        <v>#NUM!</v>
      </c>
      <c r="F250" s="233" t="e">
        <f t="shared" si="43"/>
        <v>#NUM!</v>
      </c>
      <c r="G250" s="240"/>
      <c r="H250" s="233" t="e">
        <f t="shared" si="44"/>
        <v>#NUM!</v>
      </c>
      <c r="I250" s="1"/>
      <c r="K250" s="227"/>
      <c r="L250" s="1"/>
      <c r="M250" s="1"/>
      <c r="N250" s="232">
        <v>227</v>
      </c>
      <c r="O250" s="233" t="e">
        <f t="shared" si="45"/>
        <v>#NUM!</v>
      </c>
      <c r="P250" s="241" t="e">
        <f t="shared" si="46"/>
        <v>#NUM!</v>
      </c>
      <c r="Q250" s="233" t="e">
        <f t="shared" si="47"/>
        <v>#NUM!</v>
      </c>
      <c r="R250" s="233" t="e">
        <f t="shared" si="48"/>
        <v>#NUM!</v>
      </c>
      <c r="S250" s="240"/>
      <c r="T250" s="233" t="e">
        <f t="shared" si="49"/>
        <v>#NUM!</v>
      </c>
      <c r="U250" s="226"/>
      <c r="V250" s="226"/>
      <c r="W250" s="226"/>
      <c r="X250" s="230"/>
      <c r="Y250" s="1"/>
    </row>
    <row r="251" spans="1:25" ht="15.75" x14ac:dyDescent="0.3">
      <c r="A251" s="1"/>
      <c r="B251" s="232">
        <v>228</v>
      </c>
      <c r="C251" s="233" t="e">
        <f t="shared" si="40"/>
        <v>#NUM!</v>
      </c>
      <c r="D251" s="241" t="e">
        <f t="shared" si="41"/>
        <v>#NUM!</v>
      </c>
      <c r="E251" s="233" t="e">
        <f t="shared" si="42"/>
        <v>#NUM!</v>
      </c>
      <c r="F251" s="233" t="e">
        <f t="shared" si="43"/>
        <v>#NUM!</v>
      </c>
      <c r="G251" s="240"/>
      <c r="H251" s="233" t="e">
        <f t="shared" si="44"/>
        <v>#NUM!</v>
      </c>
      <c r="I251" s="1"/>
      <c r="K251" s="227"/>
      <c r="L251" s="1"/>
      <c r="M251" s="1"/>
      <c r="N251" s="232">
        <v>228</v>
      </c>
      <c r="O251" s="233" t="e">
        <f t="shared" si="45"/>
        <v>#NUM!</v>
      </c>
      <c r="P251" s="241" t="e">
        <f t="shared" si="46"/>
        <v>#NUM!</v>
      </c>
      <c r="Q251" s="233" t="e">
        <f t="shared" si="47"/>
        <v>#NUM!</v>
      </c>
      <c r="R251" s="233" t="e">
        <f t="shared" si="48"/>
        <v>#NUM!</v>
      </c>
      <c r="S251" s="240"/>
      <c r="T251" s="233" t="e">
        <f t="shared" si="49"/>
        <v>#NUM!</v>
      </c>
      <c r="U251" s="226"/>
      <c r="V251" s="226"/>
      <c r="W251" s="226"/>
      <c r="X251" s="230"/>
      <c r="Y251" s="1"/>
    </row>
    <row r="252" spans="1:25" ht="15.75" x14ac:dyDescent="0.3">
      <c r="A252" s="1"/>
      <c r="B252" s="232">
        <v>229</v>
      </c>
      <c r="C252" s="233" t="e">
        <f t="shared" si="40"/>
        <v>#NUM!</v>
      </c>
      <c r="D252" s="241" t="e">
        <f t="shared" si="41"/>
        <v>#NUM!</v>
      </c>
      <c r="E252" s="233" t="e">
        <f t="shared" si="42"/>
        <v>#NUM!</v>
      </c>
      <c r="F252" s="233" t="e">
        <f t="shared" si="43"/>
        <v>#NUM!</v>
      </c>
      <c r="G252" s="240"/>
      <c r="H252" s="233" t="e">
        <f t="shared" si="44"/>
        <v>#NUM!</v>
      </c>
      <c r="I252" s="1"/>
      <c r="K252" s="227"/>
      <c r="L252" s="1"/>
      <c r="M252" s="1"/>
      <c r="N252" s="232">
        <v>229</v>
      </c>
      <c r="O252" s="233" t="e">
        <f t="shared" si="45"/>
        <v>#NUM!</v>
      </c>
      <c r="P252" s="241" t="e">
        <f t="shared" si="46"/>
        <v>#NUM!</v>
      </c>
      <c r="Q252" s="233" t="e">
        <f t="shared" si="47"/>
        <v>#NUM!</v>
      </c>
      <c r="R252" s="233" t="e">
        <f t="shared" si="48"/>
        <v>#NUM!</v>
      </c>
      <c r="S252" s="240"/>
      <c r="T252" s="233" t="e">
        <f t="shared" si="49"/>
        <v>#NUM!</v>
      </c>
      <c r="U252" s="226"/>
      <c r="V252" s="226"/>
      <c r="W252" s="226"/>
      <c r="X252" s="230"/>
      <c r="Y252" s="1"/>
    </row>
    <row r="253" spans="1:25" ht="15.75" x14ac:dyDescent="0.3">
      <c r="A253" s="1"/>
      <c r="B253" s="232">
        <v>230</v>
      </c>
      <c r="C253" s="233" t="e">
        <f t="shared" si="40"/>
        <v>#NUM!</v>
      </c>
      <c r="D253" s="241" t="e">
        <f t="shared" si="41"/>
        <v>#NUM!</v>
      </c>
      <c r="E253" s="233" t="e">
        <f t="shared" si="42"/>
        <v>#NUM!</v>
      </c>
      <c r="F253" s="233" t="e">
        <f t="shared" si="43"/>
        <v>#NUM!</v>
      </c>
      <c r="G253" s="240"/>
      <c r="H253" s="233" t="e">
        <f t="shared" si="44"/>
        <v>#NUM!</v>
      </c>
      <c r="I253" s="1"/>
      <c r="K253" s="227"/>
      <c r="L253" s="1"/>
      <c r="M253" s="1"/>
      <c r="N253" s="232">
        <v>230</v>
      </c>
      <c r="O253" s="233" t="e">
        <f t="shared" si="45"/>
        <v>#NUM!</v>
      </c>
      <c r="P253" s="241" t="e">
        <f t="shared" si="46"/>
        <v>#NUM!</v>
      </c>
      <c r="Q253" s="233" t="e">
        <f t="shared" si="47"/>
        <v>#NUM!</v>
      </c>
      <c r="R253" s="233" t="e">
        <f t="shared" si="48"/>
        <v>#NUM!</v>
      </c>
      <c r="S253" s="240"/>
      <c r="T253" s="233" t="e">
        <f t="shared" si="49"/>
        <v>#NUM!</v>
      </c>
      <c r="U253" s="226"/>
      <c r="V253" s="226"/>
      <c r="W253" s="226"/>
      <c r="X253" s="230"/>
      <c r="Y253" s="1"/>
    </row>
    <row r="254" spans="1:25" ht="15.75" x14ac:dyDescent="0.3">
      <c r="A254" s="1"/>
      <c r="B254" s="232">
        <v>231</v>
      </c>
      <c r="C254" s="233" t="e">
        <f t="shared" si="40"/>
        <v>#NUM!</v>
      </c>
      <c r="D254" s="241" t="e">
        <f t="shared" si="41"/>
        <v>#NUM!</v>
      </c>
      <c r="E254" s="233" t="e">
        <f t="shared" si="42"/>
        <v>#NUM!</v>
      </c>
      <c r="F254" s="233" t="e">
        <f t="shared" si="43"/>
        <v>#NUM!</v>
      </c>
      <c r="G254" s="240"/>
      <c r="H254" s="233" t="e">
        <f t="shared" si="44"/>
        <v>#NUM!</v>
      </c>
      <c r="I254" s="1"/>
      <c r="K254" s="227"/>
      <c r="L254" s="1"/>
      <c r="M254" s="1"/>
      <c r="N254" s="232">
        <v>231</v>
      </c>
      <c r="O254" s="233" t="e">
        <f t="shared" si="45"/>
        <v>#NUM!</v>
      </c>
      <c r="P254" s="241" t="e">
        <f t="shared" si="46"/>
        <v>#NUM!</v>
      </c>
      <c r="Q254" s="233" t="e">
        <f t="shared" si="47"/>
        <v>#NUM!</v>
      </c>
      <c r="R254" s="233" t="e">
        <f t="shared" si="48"/>
        <v>#NUM!</v>
      </c>
      <c r="S254" s="240"/>
      <c r="T254" s="233" t="e">
        <f t="shared" si="49"/>
        <v>#NUM!</v>
      </c>
      <c r="U254" s="226"/>
      <c r="V254" s="226"/>
      <c r="W254" s="226"/>
      <c r="X254" s="230"/>
      <c r="Y254" s="1"/>
    </row>
    <row r="255" spans="1:25" ht="15.75" x14ac:dyDescent="0.3">
      <c r="A255" s="1"/>
      <c r="B255" s="232">
        <v>232</v>
      </c>
      <c r="C255" s="233" t="e">
        <f t="shared" si="40"/>
        <v>#NUM!</v>
      </c>
      <c r="D255" s="241" t="e">
        <f t="shared" si="41"/>
        <v>#NUM!</v>
      </c>
      <c r="E255" s="233" t="e">
        <f t="shared" si="42"/>
        <v>#NUM!</v>
      </c>
      <c r="F255" s="233" t="e">
        <f t="shared" si="43"/>
        <v>#NUM!</v>
      </c>
      <c r="G255" s="240"/>
      <c r="H255" s="233" t="e">
        <f t="shared" si="44"/>
        <v>#NUM!</v>
      </c>
      <c r="I255" s="1"/>
      <c r="K255" s="227"/>
      <c r="L255" s="1"/>
      <c r="M255" s="1"/>
      <c r="N255" s="232">
        <v>232</v>
      </c>
      <c r="O255" s="233" t="e">
        <f t="shared" si="45"/>
        <v>#NUM!</v>
      </c>
      <c r="P255" s="241" t="e">
        <f t="shared" si="46"/>
        <v>#NUM!</v>
      </c>
      <c r="Q255" s="233" t="e">
        <f t="shared" si="47"/>
        <v>#NUM!</v>
      </c>
      <c r="R255" s="233" t="e">
        <f t="shared" si="48"/>
        <v>#NUM!</v>
      </c>
      <c r="S255" s="240"/>
      <c r="T255" s="233" t="e">
        <f t="shared" si="49"/>
        <v>#NUM!</v>
      </c>
      <c r="U255" s="226"/>
      <c r="V255" s="226"/>
      <c r="W255" s="226"/>
      <c r="X255" s="230"/>
      <c r="Y255" s="1"/>
    </row>
    <row r="256" spans="1:25" ht="15.75" x14ac:dyDescent="0.3">
      <c r="A256" s="1"/>
      <c r="B256" s="232">
        <v>233</v>
      </c>
      <c r="C256" s="233" t="e">
        <f t="shared" si="40"/>
        <v>#NUM!</v>
      </c>
      <c r="D256" s="241" t="e">
        <f t="shared" si="41"/>
        <v>#NUM!</v>
      </c>
      <c r="E256" s="233" t="e">
        <f t="shared" si="42"/>
        <v>#NUM!</v>
      </c>
      <c r="F256" s="233" t="e">
        <f t="shared" si="43"/>
        <v>#NUM!</v>
      </c>
      <c r="G256" s="240"/>
      <c r="H256" s="233" t="e">
        <f t="shared" si="44"/>
        <v>#NUM!</v>
      </c>
      <c r="I256" s="1"/>
      <c r="K256" s="227"/>
      <c r="L256" s="1"/>
      <c r="M256" s="1"/>
      <c r="N256" s="232">
        <v>233</v>
      </c>
      <c r="O256" s="233" t="e">
        <f t="shared" si="45"/>
        <v>#NUM!</v>
      </c>
      <c r="P256" s="241" t="e">
        <f t="shared" si="46"/>
        <v>#NUM!</v>
      </c>
      <c r="Q256" s="233" t="e">
        <f t="shared" si="47"/>
        <v>#NUM!</v>
      </c>
      <c r="R256" s="233" t="e">
        <f t="shared" si="48"/>
        <v>#NUM!</v>
      </c>
      <c r="S256" s="240"/>
      <c r="T256" s="233" t="e">
        <f t="shared" si="49"/>
        <v>#NUM!</v>
      </c>
      <c r="U256" s="226"/>
      <c r="V256" s="226"/>
      <c r="W256" s="226"/>
      <c r="X256" s="230"/>
      <c r="Y256" s="1"/>
    </row>
    <row r="257" spans="1:25" ht="15.75" x14ac:dyDescent="0.3">
      <c r="A257" s="1"/>
      <c r="B257" s="232">
        <v>234</v>
      </c>
      <c r="C257" s="233" t="e">
        <f t="shared" si="40"/>
        <v>#NUM!</v>
      </c>
      <c r="D257" s="241" t="e">
        <f t="shared" si="41"/>
        <v>#NUM!</v>
      </c>
      <c r="E257" s="233" t="e">
        <f t="shared" si="42"/>
        <v>#NUM!</v>
      </c>
      <c r="F257" s="233" t="e">
        <f t="shared" si="43"/>
        <v>#NUM!</v>
      </c>
      <c r="G257" s="240"/>
      <c r="H257" s="233" t="e">
        <f t="shared" si="44"/>
        <v>#NUM!</v>
      </c>
      <c r="I257" s="1"/>
      <c r="K257" s="227"/>
      <c r="L257" s="1"/>
      <c r="M257" s="1"/>
      <c r="N257" s="232">
        <v>234</v>
      </c>
      <c r="O257" s="233" t="e">
        <f t="shared" si="45"/>
        <v>#NUM!</v>
      </c>
      <c r="P257" s="241" t="e">
        <f t="shared" si="46"/>
        <v>#NUM!</v>
      </c>
      <c r="Q257" s="233" t="e">
        <f t="shared" si="47"/>
        <v>#NUM!</v>
      </c>
      <c r="R257" s="233" t="e">
        <f t="shared" si="48"/>
        <v>#NUM!</v>
      </c>
      <c r="S257" s="240"/>
      <c r="T257" s="233" t="e">
        <f t="shared" si="49"/>
        <v>#NUM!</v>
      </c>
      <c r="U257" s="226"/>
      <c r="V257" s="226"/>
      <c r="W257" s="226"/>
      <c r="X257" s="230"/>
      <c r="Y257" s="1"/>
    </row>
    <row r="258" spans="1:25" ht="15.75" x14ac:dyDescent="0.3">
      <c r="A258" s="1"/>
      <c r="B258" s="232">
        <v>235</v>
      </c>
      <c r="C258" s="233" t="e">
        <f t="shared" si="40"/>
        <v>#NUM!</v>
      </c>
      <c r="D258" s="241" t="e">
        <f t="shared" si="41"/>
        <v>#NUM!</v>
      </c>
      <c r="E258" s="233" t="e">
        <f t="shared" si="42"/>
        <v>#NUM!</v>
      </c>
      <c r="F258" s="233" t="e">
        <f t="shared" si="43"/>
        <v>#NUM!</v>
      </c>
      <c r="G258" s="240"/>
      <c r="H258" s="233" t="e">
        <f t="shared" si="44"/>
        <v>#NUM!</v>
      </c>
      <c r="I258" s="1"/>
      <c r="K258" s="227"/>
      <c r="L258" s="1"/>
      <c r="M258" s="1"/>
      <c r="N258" s="232">
        <v>235</v>
      </c>
      <c r="O258" s="233" t="e">
        <f t="shared" si="45"/>
        <v>#NUM!</v>
      </c>
      <c r="P258" s="241" t="e">
        <f t="shared" si="46"/>
        <v>#NUM!</v>
      </c>
      <c r="Q258" s="233" t="e">
        <f t="shared" si="47"/>
        <v>#NUM!</v>
      </c>
      <c r="R258" s="233" t="e">
        <f t="shared" si="48"/>
        <v>#NUM!</v>
      </c>
      <c r="S258" s="240"/>
      <c r="T258" s="233" t="e">
        <f t="shared" si="49"/>
        <v>#NUM!</v>
      </c>
      <c r="U258" s="226"/>
      <c r="V258" s="226"/>
      <c r="W258" s="226"/>
      <c r="X258" s="230"/>
      <c r="Y258" s="1"/>
    </row>
    <row r="259" spans="1:25" ht="15.75" x14ac:dyDescent="0.3">
      <c r="A259" s="1"/>
      <c r="B259" s="232">
        <v>236</v>
      </c>
      <c r="C259" s="233" t="e">
        <f t="shared" si="40"/>
        <v>#NUM!</v>
      </c>
      <c r="D259" s="241" t="e">
        <f t="shared" si="41"/>
        <v>#NUM!</v>
      </c>
      <c r="E259" s="233" t="e">
        <f t="shared" si="42"/>
        <v>#NUM!</v>
      </c>
      <c r="F259" s="233" t="e">
        <f t="shared" si="43"/>
        <v>#NUM!</v>
      </c>
      <c r="G259" s="240"/>
      <c r="H259" s="233" t="e">
        <f t="shared" si="44"/>
        <v>#NUM!</v>
      </c>
      <c r="I259" s="1"/>
      <c r="K259" s="227"/>
      <c r="L259" s="1"/>
      <c r="M259" s="1"/>
      <c r="N259" s="232">
        <v>236</v>
      </c>
      <c r="O259" s="233" t="e">
        <f t="shared" si="45"/>
        <v>#NUM!</v>
      </c>
      <c r="P259" s="241" t="e">
        <f t="shared" si="46"/>
        <v>#NUM!</v>
      </c>
      <c r="Q259" s="233" t="e">
        <f t="shared" si="47"/>
        <v>#NUM!</v>
      </c>
      <c r="R259" s="233" t="e">
        <f t="shared" si="48"/>
        <v>#NUM!</v>
      </c>
      <c r="S259" s="240"/>
      <c r="T259" s="233" t="e">
        <f t="shared" si="49"/>
        <v>#NUM!</v>
      </c>
      <c r="U259" s="226"/>
      <c r="V259" s="226"/>
      <c r="W259" s="226"/>
      <c r="X259" s="230"/>
      <c r="Y259" s="1"/>
    </row>
    <row r="260" spans="1:25" ht="15.75" x14ac:dyDescent="0.3">
      <c r="A260" s="1"/>
      <c r="B260" s="232">
        <v>237</v>
      </c>
      <c r="C260" s="233" t="e">
        <f t="shared" si="40"/>
        <v>#NUM!</v>
      </c>
      <c r="D260" s="241" t="e">
        <f t="shared" si="41"/>
        <v>#NUM!</v>
      </c>
      <c r="E260" s="233" t="e">
        <f t="shared" si="42"/>
        <v>#NUM!</v>
      </c>
      <c r="F260" s="233" t="e">
        <f t="shared" si="43"/>
        <v>#NUM!</v>
      </c>
      <c r="G260" s="240"/>
      <c r="H260" s="233" t="e">
        <f t="shared" si="44"/>
        <v>#NUM!</v>
      </c>
      <c r="I260" s="1"/>
      <c r="K260" s="227"/>
      <c r="L260" s="1"/>
      <c r="M260" s="1"/>
      <c r="N260" s="232">
        <v>237</v>
      </c>
      <c r="O260" s="233" t="e">
        <f t="shared" si="45"/>
        <v>#NUM!</v>
      </c>
      <c r="P260" s="241" t="e">
        <f t="shared" si="46"/>
        <v>#NUM!</v>
      </c>
      <c r="Q260" s="233" t="e">
        <f t="shared" si="47"/>
        <v>#NUM!</v>
      </c>
      <c r="R260" s="233" t="e">
        <f t="shared" si="48"/>
        <v>#NUM!</v>
      </c>
      <c r="S260" s="240"/>
      <c r="T260" s="233" t="e">
        <f t="shared" si="49"/>
        <v>#NUM!</v>
      </c>
      <c r="U260" s="226"/>
      <c r="V260" s="226"/>
      <c r="W260" s="226"/>
      <c r="X260" s="230"/>
      <c r="Y260" s="1"/>
    </row>
    <row r="261" spans="1:25" ht="15.75" x14ac:dyDescent="0.3">
      <c r="A261" s="1"/>
      <c r="B261" s="232">
        <v>238</v>
      </c>
      <c r="C261" s="233" t="e">
        <f t="shared" si="40"/>
        <v>#NUM!</v>
      </c>
      <c r="D261" s="241" t="e">
        <f t="shared" si="41"/>
        <v>#NUM!</v>
      </c>
      <c r="E261" s="233" t="e">
        <f t="shared" si="42"/>
        <v>#NUM!</v>
      </c>
      <c r="F261" s="233" t="e">
        <f t="shared" si="43"/>
        <v>#NUM!</v>
      </c>
      <c r="G261" s="240"/>
      <c r="H261" s="233" t="e">
        <f t="shared" si="44"/>
        <v>#NUM!</v>
      </c>
      <c r="I261" s="1"/>
      <c r="K261" s="227"/>
      <c r="L261" s="1"/>
      <c r="M261" s="1"/>
      <c r="N261" s="232">
        <v>238</v>
      </c>
      <c r="O261" s="233" t="e">
        <f t="shared" si="45"/>
        <v>#NUM!</v>
      </c>
      <c r="P261" s="241" t="e">
        <f t="shared" si="46"/>
        <v>#NUM!</v>
      </c>
      <c r="Q261" s="233" t="e">
        <f t="shared" si="47"/>
        <v>#NUM!</v>
      </c>
      <c r="R261" s="233" t="e">
        <f t="shared" si="48"/>
        <v>#NUM!</v>
      </c>
      <c r="S261" s="240"/>
      <c r="T261" s="233" t="e">
        <f t="shared" si="49"/>
        <v>#NUM!</v>
      </c>
      <c r="U261" s="226"/>
      <c r="V261" s="226"/>
      <c r="W261" s="226"/>
      <c r="X261" s="230"/>
      <c r="Y261" s="1"/>
    </row>
    <row r="262" spans="1:25" ht="15.75" x14ac:dyDescent="0.3">
      <c r="A262" s="1"/>
      <c r="B262" s="232">
        <v>239</v>
      </c>
      <c r="C262" s="233" t="e">
        <f t="shared" si="40"/>
        <v>#NUM!</v>
      </c>
      <c r="D262" s="241" t="e">
        <f t="shared" si="41"/>
        <v>#NUM!</v>
      </c>
      <c r="E262" s="233" t="e">
        <f t="shared" si="42"/>
        <v>#NUM!</v>
      </c>
      <c r="F262" s="233" t="e">
        <f t="shared" si="43"/>
        <v>#NUM!</v>
      </c>
      <c r="G262" s="240"/>
      <c r="H262" s="233" t="e">
        <f t="shared" si="44"/>
        <v>#NUM!</v>
      </c>
      <c r="I262" s="1"/>
      <c r="K262" s="227"/>
      <c r="L262" s="1"/>
      <c r="M262" s="1"/>
      <c r="N262" s="232">
        <v>239</v>
      </c>
      <c r="O262" s="233" t="e">
        <f t="shared" si="45"/>
        <v>#NUM!</v>
      </c>
      <c r="P262" s="241" t="e">
        <f t="shared" si="46"/>
        <v>#NUM!</v>
      </c>
      <c r="Q262" s="233" t="e">
        <f t="shared" si="47"/>
        <v>#NUM!</v>
      </c>
      <c r="R262" s="233" t="e">
        <f t="shared" si="48"/>
        <v>#NUM!</v>
      </c>
      <c r="S262" s="240"/>
      <c r="T262" s="233" t="e">
        <f t="shared" si="49"/>
        <v>#NUM!</v>
      </c>
      <c r="U262" s="226"/>
      <c r="V262" s="226"/>
      <c r="W262" s="226"/>
      <c r="X262" s="230"/>
      <c r="Y262" s="1"/>
    </row>
    <row r="263" spans="1:25" ht="15.75" x14ac:dyDescent="0.3">
      <c r="A263" s="1"/>
      <c r="B263" s="232">
        <v>240</v>
      </c>
      <c r="C263" s="233" t="e">
        <f t="shared" si="40"/>
        <v>#NUM!</v>
      </c>
      <c r="D263" s="241" t="e">
        <f t="shared" si="41"/>
        <v>#NUM!</v>
      </c>
      <c r="E263" s="233" t="e">
        <f t="shared" si="42"/>
        <v>#NUM!</v>
      </c>
      <c r="F263" s="233" t="e">
        <f t="shared" si="43"/>
        <v>#NUM!</v>
      </c>
      <c r="G263" s="240"/>
      <c r="H263" s="233" t="e">
        <f t="shared" si="44"/>
        <v>#NUM!</v>
      </c>
      <c r="I263" s="1"/>
      <c r="K263" s="227"/>
      <c r="L263" s="1"/>
      <c r="M263" s="1"/>
      <c r="N263" s="232">
        <v>240</v>
      </c>
      <c r="O263" s="233" t="e">
        <f t="shared" si="45"/>
        <v>#NUM!</v>
      </c>
      <c r="P263" s="241" t="e">
        <f t="shared" si="46"/>
        <v>#NUM!</v>
      </c>
      <c r="Q263" s="233" t="e">
        <f t="shared" si="47"/>
        <v>#NUM!</v>
      </c>
      <c r="R263" s="233" t="e">
        <f t="shared" si="48"/>
        <v>#NUM!</v>
      </c>
      <c r="S263" s="240"/>
      <c r="T263" s="233" t="e">
        <f t="shared" si="49"/>
        <v>#NUM!</v>
      </c>
      <c r="U263" s="226"/>
      <c r="V263" s="226"/>
      <c r="W263" s="226"/>
      <c r="X263" s="230"/>
      <c r="Y263" s="1"/>
    </row>
    <row r="264" spans="1:25" ht="15.75"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sheetData>
  <sheetProtection password="8191" sheet="1" objects="1" scenarios="1" selectLockedCells="1"/>
  <mergeCells count="7">
    <mergeCell ref="B21:G21"/>
    <mergeCell ref="B23:C23"/>
    <mergeCell ref="B25:C25"/>
    <mergeCell ref="B27:C27"/>
    <mergeCell ref="N23:O23"/>
    <mergeCell ref="N25:O25"/>
    <mergeCell ref="N27:O27"/>
  </mergeCell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Y38"/>
  <sheetViews>
    <sheetView workbookViewId="0"/>
  </sheetViews>
  <sheetFormatPr defaultRowHeight="14.25" x14ac:dyDescent="0.3"/>
  <sheetData>
    <row r="1" spans="1:25" x14ac:dyDescent="0.3">
      <c r="A1" s="249"/>
      <c r="B1" s="249"/>
      <c r="C1" s="249"/>
      <c r="D1" s="249"/>
      <c r="E1" s="249"/>
      <c r="F1" s="249"/>
      <c r="G1" s="249"/>
      <c r="H1" s="249"/>
      <c r="I1" s="249"/>
      <c r="J1" s="249"/>
      <c r="K1" s="249"/>
      <c r="L1" s="249"/>
      <c r="M1" s="249"/>
      <c r="N1" s="249"/>
      <c r="O1" s="249"/>
      <c r="P1" s="249"/>
      <c r="Q1" s="249"/>
      <c r="R1" s="249"/>
      <c r="S1" s="249"/>
      <c r="T1" s="249"/>
      <c r="U1" s="249"/>
      <c r="V1" s="249"/>
      <c r="W1" s="249"/>
      <c r="X1" s="249"/>
      <c r="Y1" s="249"/>
    </row>
    <row r="2" spans="1:25" x14ac:dyDescent="0.3">
      <c r="A2" s="249"/>
      <c r="B2" s="249"/>
      <c r="C2" s="249"/>
      <c r="D2" s="249"/>
      <c r="E2" s="249"/>
      <c r="F2" s="249"/>
      <c r="G2" s="249"/>
      <c r="H2" s="249"/>
      <c r="I2" s="249"/>
      <c r="J2" s="249"/>
      <c r="K2" s="249"/>
      <c r="L2" s="249"/>
      <c r="M2" s="249"/>
      <c r="N2" s="249"/>
      <c r="O2" s="249"/>
      <c r="P2" s="249"/>
      <c r="Q2" s="249"/>
      <c r="R2" s="249"/>
      <c r="S2" s="249"/>
      <c r="T2" s="249"/>
      <c r="U2" s="249"/>
      <c r="V2" s="249"/>
      <c r="W2" s="249"/>
      <c r="X2" s="249"/>
      <c r="Y2" s="249"/>
    </row>
    <row r="3" spans="1:25" x14ac:dyDescent="0.3">
      <c r="A3" s="249"/>
      <c r="B3" s="249"/>
      <c r="C3" s="249"/>
      <c r="D3" s="249"/>
      <c r="E3" s="249"/>
      <c r="F3" s="249"/>
      <c r="G3" s="249"/>
      <c r="H3" s="249"/>
      <c r="I3" s="249"/>
      <c r="J3" s="249"/>
      <c r="K3" s="249"/>
      <c r="L3" s="249"/>
      <c r="M3" s="249"/>
      <c r="N3" s="249"/>
      <c r="O3" s="249"/>
      <c r="P3" s="249"/>
      <c r="Q3" s="249"/>
      <c r="R3" s="249"/>
      <c r="S3" s="249"/>
      <c r="T3" s="249"/>
      <c r="U3" s="249"/>
      <c r="V3" s="249"/>
      <c r="W3" s="249"/>
      <c r="X3" s="249"/>
      <c r="Y3" s="249"/>
    </row>
    <row r="4" spans="1:25" x14ac:dyDescent="0.3">
      <c r="A4" s="249"/>
      <c r="B4" s="249"/>
      <c r="C4" s="249"/>
      <c r="D4" s="249"/>
      <c r="E4" s="249"/>
      <c r="F4" s="249"/>
      <c r="G4" s="249"/>
      <c r="H4" s="249"/>
      <c r="I4" s="249"/>
      <c r="J4" s="249"/>
      <c r="K4" s="249"/>
      <c r="L4" s="249"/>
      <c r="M4" s="249"/>
      <c r="N4" s="249"/>
      <c r="O4" s="249"/>
      <c r="P4" s="249"/>
      <c r="Q4" s="249"/>
      <c r="R4" s="249"/>
      <c r="S4" s="249"/>
      <c r="T4" s="249"/>
      <c r="U4" s="249"/>
      <c r="V4" s="249"/>
      <c r="W4" s="249"/>
      <c r="X4" s="249"/>
      <c r="Y4" s="249"/>
    </row>
    <row r="5" spans="1:25" x14ac:dyDescent="0.3">
      <c r="A5" s="249"/>
      <c r="B5" s="249"/>
      <c r="C5" s="249"/>
      <c r="D5" s="249"/>
      <c r="E5" s="249"/>
      <c r="F5" s="249"/>
      <c r="G5" s="249"/>
      <c r="H5" s="249"/>
      <c r="I5" s="249"/>
      <c r="J5" s="249"/>
      <c r="K5" s="249"/>
      <c r="L5" s="249"/>
      <c r="M5" s="249"/>
      <c r="N5" s="249"/>
      <c r="O5" s="249"/>
      <c r="P5" s="249"/>
      <c r="Q5" s="249"/>
      <c r="R5" s="249"/>
      <c r="S5" s="249"/>
      <c r="T5" s="249"/>
      <c r="U5" s="249"/>
      <c r="V5" s="249"/>
      <c r="W5" s="249"/>
      <c r="X5" s="249"/>
      <c r="Y5" s="249"/>
    </row>
    <row r="6" spans="1:25" x14ac:dyDescent="0.3">
      <c r="A6" s="249" t="s">
        <v>1778</v>
      </c>
      <c r="B6" s="249"/>
      <c r="C6" s="249"/>
      <c r="D6" s="249"/>
      <c r="E6" s="249"/>
      <c r="F6" s="249"/>
      <c r="G6" s="249"/>
      <c r="H6" s="249"/>
      <c r="I6" s="249"/>
      <c r="J6" s="249"/>
      <c r="K6" s="249"/>
      <c r="L6" s="249"/>
      <c r="M6" s="249"/>
      <c r="N6" s="249"/>
      <c r="O6" s="249"/>
      <c r="P6" s="249"/>
      <c r="Q6" s="249"/>
      <c r="R6" s="249"/>
      <c r="S6" s="249"/>
      <c r="T6" s="249"/>
      <c r="U6" s="249"/>
      <c r="V6" s="249"/>
      <c r="W6" s="249"/>
      <c r="X6" s="249"/>
      <c r="Y6" s="249"/>
    </row>
    <row r="7" spans="1:25" x14ac:dyDescent="0.3">
      <c r="A7" s="249"/>
      <c r="B7" s="249"/>
      <c r="C7" s="249"/>
      <c r="D7" s="249"/>
      <c r="E7" s="249"/>
      <c r="F7" s="249"/>
      <c r="G7" s="249"/>
      <c r="H7" s="249"/>
      <c r="I7" s="249"/>
      <c r="J7" s="249"/>
      <c r="K7" s="249"/>
      <c r="L7" s="249"/>
      <c r="M7" s="249"/>
      <c r="N7" s="249"/>
      <c r="O7" s="249"/>
      <c r="P7" s="249"/>
      <c r="Q7" s="249"/>
      <c r="R7" s="249"/>
      <c r="S7" s="249"/>
      <c r="T7" s="249"/>
      <c r="U7" s="249"/>
      <c r="V7" s="249"/>
      <c r="W7" s="249"/>
      <c r="X7" s="249"/>
      <c r="Y7" s="249"/>
    </row>
    <row r="8" spans="1:25" x14ac:dyDescent="0.3">
      <c r="A8" s="249"/>
      <c r="B8" s="249"/>
      <c r="C8" s="249"/>
      <c r="D8" s="249"/>
      <c r="E8" s="249"/>
      <c r="F8" s="249"/>
      <c r="G8" s="249"/>
      <c r="H8" s="249"/>
      <c r="I8" s="249"/>
      <c r="J8" s="249"/>
      <c r="K8" s="249"/>
      <c r="L8" s="249"/>
      <c r="M8" s="249"/>
      <c r="N8" s="249"/>
      <c r="O8" s="249"/>
      <c r="P8" s="249"/>
      <c r="Q8" s="249"/>
      <c r="R8" s="249"/>
      <c r="S8" s="249"/>
      <c r="T8" s="249"/>
      <c r="U8" s="249"/>
      <c r="V8" s="249"/>
      <c r="W8" s="249"/>
      <c r="X8" s="249"/>
      <c r="Y8" s="249"/>
    </row>
    <row r="9" spans="1:25" x14ac:dyDescent="0.3">
      <c r="A9" s="249"/>
      <c r="B9" s="249"/>
      <c r="C9" s="249"/>
      <c r="D9" s="249"/>
      <c r="E9" s="249"/>
      <c r="F9" s="249"/>
      <c r="G9" s="249"/>
      <c r="H9" s="249"/>
      <c r="I9" s="249"/>
      <c r="J9" s="249"/>
      <c r="K9" s="249"/>
      <c r="L9" s="249"/>
      <c r="M9" s="249"/>
      <c r="N9" s="249"/>
      <c r="O9" s="249"/>
      <c r="P9" s="249"/>
      <c r="Q9" s="249"/>
      <c r="R9" s="249"/>
      <c r="S9" s="249"/>
      <c r="T9" s="249"/>
      <c r="U9" s="249"/>
      <c r="V9" s="249"/>
      <c r="W9" s="249"/>
      <c r="X9" s="249"/>
      <c r="Y9" s="249"/>
    </row>
    <row r="10" spans="1:25" ht="16.5" x14ac:dyDescent="0.3">
      <c r="A10" s="250" t="s">
        <v>1779</v>
      </c>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row>
    <row r="11" spans="1:25" ht="106.5" customHeight="1" x14ac:dyDescent="0.3">
      <c r="A11" s="281" t="s">
        <v>1780</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row>
    <row r="12" spans="1:25" ht="89.25" customHeight="1" x14ac:dyDescent="0.3">
      <c r="A12" s="281" t="s">
        <v>1781</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row>
    <row r="13" spans="1:25" x14ac:dyDescent="0.3">
      <c r="A13" s="281"/>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row>
    <row r="14" spans="1:25" x14ac:dyDescent="0.3">
      <c r="A14" s="284" t="s">
        <v>1783</v>
      </c>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row>
    <row r="15" spans="1:25" x14ac:dyDescent="0.3">
      <c r="A15" s="28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row>
    <row r="16" spans="1:25" x14ac:dyDescent="0.3">
      <c r="A16" s="282" t="s">
        <v>1784</v>
      </c>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row>
    <row r="17" spans="1:25" x14ac:dyDescent="0.3">
      <c r="A17" s="282" t="s">
        <v>1785</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row>
    <row r="18" spans="1:25" x14ac:dyDescent="0.3">
      <c r="A18" s="282" t="s">
        <v>1782</v>
      </c>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row>
    <row r="19" spans="1:25" x14ac:dyDescent="0.3">
      <c r="A19" s="282" t="s">
        <v>1786</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row>
    <row r="20" spans="1:25" x14ac:dyDescent="0.3">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row>
    <row r="21" spans="1:25" ht="145.5" customHeight="1" x14ac:dyDescent="0.3">
      <c r="A21" s="281" t="s">
        <v>1787</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row>
    <row r="22" spans="1:25" x14ac:dyDescent="0.3">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row>
    <row r="23" spans="1:25" x14ac:dyDescent="0.3">
      <c r="A23" s="284" t="s">
        <v>1788</v>
      </c>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row>
    <row r="24" spans="1:25" x14ac:dyDescent="0.3">
      <c r="A24" s="282" t="s">
        <v>1790</v>
      </c>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row>
    <row r="25" spans="1:25" x14ac:dyDescent="0.3">
      <c r="A25" s="282" t="s">
        <v>1791</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row>
    <row r="26" spans="1:25" x14ac:dyDescent="0.3">
      <c r="A26" s="283" t="s">
        <v>6</v>
      </c>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row>
    <row r="27" spans="1:25" x14ac:dyDescent="0.3">
      <c r="A27" s="282" t="s">
        <v>1789</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row>
    <row r="28" spans="1:25" ht="14.25" customHeight="1" x14ac:dyDescent="0.3">
      <c r="A28" s="284" t="s">
        <v>1792</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row>
    <row r="29" spans="1:25" x14ac:dyDescent="0.3">
      <c r="A29" s="282"/>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row>
    <row r="30" spans="1:25" x14ac:dyDescent="0.3">
      <c r="A30" s="282" t="s">
        <v>1793</v>
      </c>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row>
    <row r="31" spans="1:25" x14ac:dyDescent="0.3">
      <c r="A31" s="282" t="s">
        <v>1794</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x14ac:dyDescent="0.3">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row>
    <row r="33" spans="1:25" ht="64.5" customHeight="1" x14ac:dyDescent="0.3">
      <c r="A33" s="281" t="s">
        <v>1795</v>
      </c>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row>
    <row r="34" spans="1:25" ht="133.5" customHeight="1" x14ac:dyDescent="0.3">
      <c r="A34" s="282" t="s">
        <v>1796</v>
      </c>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row>
    <row r="35" spans="1:25" x14ac:dyDescent="0.3">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row>
    <row r="36" spans="1:25" ht="114.75" customHeight="1" x14ac:dyDescent="0.3">
      <c r="A36" s="281" t="s">
        <v>1797</v>
      </c>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row>
    <row r="37" spans="1:25" x14ac:dyDescent="0.3">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row>
    <row r="38" spans="1:25" ht="41.25" customHeight="1" x14ac:dyDescent="0.3">
      <c r="A38" s="281" t="s">
        <v>1798</v>
      </c>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row>
  </sheetData>
  <sheetProtection password="8191" sheet="1" objects="1" scenarios="1" selectLockedCells="1"/>
  <mergeCells count="23">
    <mergeCell ref="A24:Y24"/>
    <mergeCell ref="A11:Y11"/>
    <mergeCell ref="A12:Y12"/>
    <mergeCell ref="A13:Y13"/>
    <mergeCell ref="A14:Y14"/>
    <mergeCell ref="A15:Y15"/>
    <mergeCell ref="A16:Y16"/>
    <mergeCell ref="A17:Y17"/>
    <mergeCell ref="A18:Y18"/>
    <mergeCell ref="A19:Y19"/>
    <mergeCell ref="A21:Y21"/>
    <mergeCell ref="A23:Y23"/>
    <mergeCell ref="A25:Y25"/>
    <mergeCell ref="A26:Y26"/>
    <mergeCell ref="A27:Y27"/>
    <mergeCell ref="A28:Y28"/>
    <mergeCell ref="A29:Y29"/>
    <mergeCell ref="A38:Y38"/>
    <mergeCell ref="A30:Y30"/>
    <mergeCell ref="A31:Y31"/>
    <mergeCell ref="A33:Y33"/>
    <mergeCell ref="A34:Y34"/>
    <mergeCell ref="A36:Y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Y35"/>
  <sheetViews>
    <sheetView workbookViewId="0"/>
  </sheetViews>
  <sheetFormatPr defaultRowHeight="14.25" x14ac:dyDescent="0.3"/>
  <sheetData>
    <row r="1" spans="1:25" x14ac:dyDescent="0.3">
      <c r="A1" s="249"/>
      <c r="B1" s="249"/>
      <c r="C1" s="249"/>
      <c r="D1" s="249"/>
      <c r="E1" s="249"/>
      <c r="F1" s="249"/>
      <c r="G1" s="249"/>
      <c r="H1" s="249"/>
      <c r="I1" s="249"/>
      <c r="J1" s="249"/>
      <c r="K1" s="249"/>
      <c r="L1" s="249"/>
      <c r="M1" s="249"/>
      <c r="N1" s="249"/>
      <c r="O1" s="249"/>
      <c r="P1" s="249"/>
      <c r="Q1" s="249"/>
      <c r="R1" s="249"/>
      <c r="S1" s="249"/>
      <c r="T1" s="249"/>
      <c r="U1" s="249"/>
      <c r="V1" s="249"/>
      <c r="W1" s="249"/>
      <c r="X1" s="249"/>
      <c r="Y1" s="249"/>
    </row>
    <row r="2" spans="1:25" x14ac:dyDescent="0.3">
      <c r="A2" s="249"/>
      <c r="B2" s="249"/>
      <c r="C2" s="249"/>
      <c r="D2" s="249"/>
      <c r="E2" s="249"/>
      <c r="F2" s="249"/>
      <c r="G2" s="249"/>
      <c r="H2" s="249"/>
      <c r="I2" s="249"/>
      <c r="J2" s="249"/>
      <c r="K2" s="249"/>
      <c r="L2" s="249"/>
      <c r="M2" s="249"/>
      <c r="N2" s="249"/>
      <c r="O2" s="249"/>
      <c r="P2" s="249"/>
      <c r="Q2" s="249"/>
      <c r="R2" s="249"/>
      <c r="S2" s="249"/>
      <c r="T2" s="249"/>
      <c r="U2" s="249"/>
      <c r="V2" s="249"/>
      <c r="W2" s="249"/>
      <c r="X2" s="249"/>
      <c r="Y2" s="249"/>
    </row>
    <row r="3" spans="1:25" x14ac:dyDescent="0.3">
      <c r="A3" s="249"/>
      <c r="B3" s="249"/>
      <c r="C3" s="249"/>
      <c r="D3" s="249"/>
      <c r="E3" s="249"/>
      <c r="F3" s="249"/>
      <c r="G3" s="249"/>
      <c r="H3" s="249"/>
      <c r="I3" s="249"/>
      <c r="J3" s="249"/>
      <c r="K3" s="249"/>
      <c r="L3" s="249"/>
      <c r="M3" s="249"/>
      <c r="N3" s="249"/>
      <c r="O3" s="249"/>
      <c r="P3" s="249"/>
      <c r="Q3" s="249"/>
      <c r="R3" s="249"/>
      <c r="S3" s="249"/>
      <c r="T3" s="249"/>
      <c r="U3" s="249"/>
      <c r="V3" s="249"/>
      <c r="W3" s="249"/>
      <c r="X3" s="249"/>
      <c r="Y3" s="249"/>
    </row>
    <row r="4" spans="1:25" x14ac:dyDescent="0.3">
      <c r="A4" s="249"/>
      <c r="B4" s="249"/>
      <c r="C4" s="249"/>
      <c r="D4" s="249"/>
      <c r="E4" s="249"/>
      <c r="F4" s="249"/>
      <c r="G4" s="249"/>
      <c r="H4" s="249"/>
      <c r="I4" s="249"/>
      <c r="J4" s="249"/>
      <c r="K4" s="249"/>
      <c r="L4" s="249"/>
      <c r="M4" s="249"/>
      <c r="N4" s="249"/>
      <c r="O4" s="249"/>
      <c r="P4" s="249"/>
      <c r="Q4" s="249"/>
      <c r="R4" s="249"/>
      <c r="S4" s="249"/>
      <c r="T4" s="249"/>
      <c r="U4" s="249"/>
      <c r="V4" s="249"/>
      <c r="W4" s="249"/>
      <c r="X4" s="249"/>
      <c r="Y4" s="249"/>
    </row>
    <row r="5" spans="1:25" x14ac:dyDescent="0.3">
      <c r="A5" s="249"/>
      <c r="B5" s="249"/>
      <c r="C5" s="249"/>
      <c r="D5" s="249"/>
      <c r="E5" s="249"/>
      <c r="F5" s="249"/>
      <c r="G5" s="249"/>
      <c r="H5" s="249"/>
      <c r="I5" s="249"/>
      <c r="J5" s="249"/>
      <c r="K5" s="249"/>
      <c r="L5" s="249"/>
      <c r="M5" s="249"/>
      <c r="N5" s="249"/>
      <c r="O5" s="249"/>
      <c r="P5" s="249"/>
      <c r="Q5" s="249"/>
      <c r="R5" s="249"/>
      <c r="S5" s="249"/>
      <c r="T5" s="249"/>
      <c r="U5" s="249"/>
      <c r="V5" s="249"/>
      <c r="W5" s="249"/>
      <c r="X5" s="249"/>
      <c r="Y5" s="249"/>
    </row>
    <row r="6" spans="1:25" x14ac:dyDescent="0.3">
      <c r="A6" s="249" t="s">
        <v>1778</v>
      </c>
      <c r="B6" s="249"/>
      <c r="C6" s="249"/>
      <c r="D6" s="249"/>
      <c r="E6" s="249"/>
      <c r="F6" s="249"/>
      <c r="G6" s="249"/>
      <c r="H6" s="249"/>
      <c r="I6" s="249"/>
      <c r="J6" s="249"/>
      <c r="K6" s="249"/>
      <c r="L6" s="249"/>
      <c r="M6" s="249"/>
      <c r="N6" s="249"/>
      <c r="O6" s="249"/>
      <c r="P6" s="249"/>
      <c r="Q6" s="249"/>
      <c r="R6" s="249"/>
      <c r="S6" s="249"/>
      <c r="T6" s="249"/>
      <c r="U6" s="249"/>
      <c r="V6" s="249"/>
      <c r="W6" s="249"/>
      <c r="X6" s="249"/>
      <c r="Y6" s="249"/>
    </row>
    <row r="7" spans="1:25" ht="16.5" x14ac:dyDescent="0.3">
      <c r="A7" s="250"/>
      <c r="B7" s="251"/>
      <c r="C7" s="251"/>
      <c r="D7" s="251"/>
      <c r="E7" s="251"/>
      <c r="F7" s="251"/>
      <c r="G7" s="251"/>
      <c r="H7" s="251"/>
      <c r="I7" s="251"/>
      <c r="J7" s="251"/>
      <c r="K7" s="251"/>
      <c r="L7" s="251"/>
      <c r="M7" s="251"/>
      <c r="N7" s="251"/>
      <c r="O7" s="251"/>
      <c r="P7" s="251"/>
      <c r="Q7" s="251"/>
      <c r="R7" s="251"/>
      <c r="S7" s="251"/>
      <c r="T7" s="251"/>
      <c r="U7" s="251"/>
      <c r="V7" s="251"/>
      <c r="W7" s="251"/>
      <c r="X7" s="251"/>
      <c r="Y7" s="251"/>
    </row>
    <row r="8" spans="1:25" x14ac:dyDescent="0.3">
      <c r="A8" s="267" t="s">
        <v>1799</v>
      </c>
      <c r="B8" s="267"/>
      <c r="C8" s="267"/>
      <c r="D8" s="267"/>
      <c r="E8" s="267"/>
      <c r="F8" s="267"/>
      <c r="G8" s="267"/>
      <c r="H8" s="267"/>
      <c r="I8" s="267"/>
      <c r="J8" s="267"/>
      <c r="K8" s="267"/>
      <c r="L8" s="267"/>
      <c r="M8" s="267"/>
      <c r="N8" s="267"/>
      <c r="O8" s="267"/>
      <c r="P8" s="267"/>
      <c r="Q8" s="267"/>
      <c r="R8" s="267"/>
      <c r="S8" s="267"/>
      <c r="T8" s="267"/>
      <c r="U8" s="267"/>
      <c r="V8" s="267"/>
      <c r="W8" s="267"/>
      <c r="X8" s="267"/>
      <c r="Y8" s="267"/>
    </row>
    <row r="9" spans="1:25" ht="15.75" x14ac:dyDescent="0.3">
      <c r="A9" s="253"/>
      <c r="B9" s="253"/>
      <c r="C9" s="253"/>
      <c r="D9" s="253"/>
      <c r="E9" s="253"/>
      <c r="F9" s="253"/>
      <c r="G9" s="253"/>
      <c r="H9" s="253"/>
      <c r="I9" s="253"/>
      <c r="J9" s="253"/>
      <c r="K9" s="253"/>
      <c r="L9" s="253"/>
      <c r="M9" s="253"/>
      <c r="N9" s="253"/>
      <c r="O9" s="253"/>
      <c r="P9" s="253"/>
      <c r="Q9" s="253"/>
      <c r="R9" s="253"/>
      <c r="S9" s="253"/>
      <c r="T9" s="253"/>
      <c r="U9" s="253"/>
      <c r="V9" s="253"/>
      <c r="W9" s="253"/>
      <c r="X9" s="253"/>
      <c r="Y9" s="253"/>
    </row>
    <row r="10" spans="1:25" x14ac:dyDescent="0.3">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row>
    <row r="11" spans="1:25" x14ac:dyDescent="0.3">
      <c r="A11" s="255"/>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row>
    <row r="12" spans="1:25" x14ac:dyDescent="0.3">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row>
    <row r="13" spans="1:25" x14ac:dyDescent="0.3">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row>
    <row r="14" spans="1:25" x14ac:dyDescent="0.3">
      <c r="A14" s="256"/>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row>
    <row r="15" spans="1:25" x14ac:dyDescent="0.3">
      <c r="A15" s="256"/>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row>
    <row r="16" spans="1:25" x14ac:dyDescent="0.3">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row>
    <row r="17" spans="1:25" x14ac:dyDescent="0.3">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row>
    <row r="18" spans="1:25" x14ac:dyDescent="0.3">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row>
    <row r="19" spans="1:25" x14ac:dyDescent="0.3">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row>
    <row r="20" spans="1:25" x14ac:dyDescent="0.3">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row>
    <row r="21" spans="1:25" x14ac:dyDescent="0.3">
      <c r="A21" s="25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row>
    <row r="22" spans="1:25" x14ac:dyDescent="0.3">
      <c r="A22" s="256"/>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row>
    <row r="23" spans="1:25" x14ac:dyDescent="0.3">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row>
    <row r="24" spans="1:25" x14ac:dyDescent="0.3">
      <c r="A24" s="256"/>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row>
    <row r="25" spans="1:25" ht="14.25" customHeight="1" x14ac:dyDescent="0.3">
      <c r="A25" s="256"/>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row>
    <row r="26" spans="1:25" x14ac:dyDescent="0.3">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row>
    <row r="27" spans="1:25" x14ac:dyDescent="0.3">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row>
    <row r="28" spans="1:25" x14ac:dyDescent="0.3">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row>
    <row r="29" spans="1:25" x14ac:dyDescent="0.3">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row>
    <row r="30" spans="1:25" ht="64.5" customHeight="1" x14ac:dyDescent="0.3">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row>
    <row r="31" spans="1:25" ht="133.5" customHeight="1" x14ac:dyDescent="0.3">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row>
    <row r="32" spans="1:25" x14ac:dyDescent="0.3">
      <c r="A32" s="257"/>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row>
    <row r="33" spans="1:25" ht="114.75" customHeight="1" x14ac:dyDescent="0.3">
      <c r="A33" s="257"/>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row>
    <row r="34" spans="1:25" x14ac:dyDescent="0.3">
      <c r="A34" s="257"/>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row>
    <row r="35" spans="1:25" ht="41.25" customHeight="1" x14ac:dyDescent="0.3">
      <c r="A35" s="258"/>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row>
  </sheetData>
  <sheetProtection password="8191" sheet="1" objects="1" scenarios="1" selectLockedCells="1"/>
  <mergeCells count="1">
    <mergeCell ref="A8:Y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D4:J837"/>
  <sheetViews>
    <sheetView topLeftCell="A6" workbookViewId="0">
      <selection activeCell="I9" sqref="I9:J837"/>
    </sheetView>
  </sheetViews>
  <sheetFormatPr defaultRowHeight="14.25" x14ac:dyDescent="0.3"/>
  <cols>
    <col min="4" max="4" width="30.140625" bestFit="1" customWidth="1"/>
    <col min="5" max="5" width="32.85546875" bestFit="1" customWidth="1"/>
    <col min="9" max="9" width="64.140625" bestFit="1" customWidth="1"/>
  </cols>
  <sheetData>
    <row r="4" spans="4:10" x14ac:dyDescent="0.3">
      <c r="D4" s="285" t="s">
        <v>172</v>
      </c>
      <c r="E4" s="285"/>
    </row>
    <row r="5" spans="4:10" x14ac:dyDescent="0.3">
      <c r="D5" s="45" t="s">
        <v>173</v>
      </c>
      <c r="E5" s="45" t="s">
        <v>174</v>
      </c>
    </row>
    <row r="6" spans="4:10" x14ac:dyDescent="0.3">
      <c r="D6" s="9"/>
      <c r="E6" s="9" t="s">
        <v>58</v>
      </c>
    </row>
    <row r="7" spans="4:10" x14ac:dyDescent="0.3">
      <c r="D7" s="9" t="s">
        <v>59</v>
      </c>
      <c r="E7" s="9" t="s">
        <v>60</v>
      </c>
    </row>
    <row r="8" spans="4:10" x14ac:dyDescent="0.3">
      <c r="D8" s="9" t="s">
        <v>61</v>
      </c>
      <c r="E8" s="9" t="s">
        <v>62</v>
      </c>
    </row>
    <row r="9" spans="4:10" x14ac:dyDescent="0.3">
      <c r="D9" s="9" t="s">
        <v>63</v>
      </c>
      <c r="E9" s="9" t="s">
        <v>64</v>
      </c>
      <c r="I9" t="s">
        <v>384</v>
      </c>
      <c r="J9" t="s">
        <v>385</v>
      </c>
    </row>
    <row r="10" spans="4:10" x14ac:dyDescent="0.3">
      <c r="D10" s="9" t="s">
        <v>65</v>
      </c>
      <c r="E10" s="9" t="s">
        <v>66</v>
      </c>
      <c r="I10" t="s">
        <v>386</v>
      </c>
      <c r="J10" t="s">
        <v>387</v>
      </c>
    </row>
    <row r="11" spans="4:10" x14ac:dyDescent="0.3">
      <c r="D11" s="9" t="s">
        <v>67</v>
      </c>
      <c r="E11" s="9" t="s">
        <v>68</v>
      </c>
      <c r="I11" t="s">
        <v>388</v>
      </c>
      <c r="J11" t="s">
        <v>389</v>
      </c>
    </row>
    <row r="12" spans="4:10" x14ac:dyDescent="0.3">
      <c r="D12" s="9" t="s">
        <v>69</v>
      </c>
      <c r="E12" s="9" t="s">
        <v>70</v>
      </c>
      <c r="I12" t="s">
        <v>390</v>
      </c>
      <c r="J12" t="s">
        <v>391</v>
      </c>
    </row>
    <row r="13" spans="4:10" x14ac:dyDescent="0.3">
      <c r="D13" s="9" t="s">
        <v>71</v>
      </c>
      <c r="E13" s="9" t="s">
        <v>72</v>
      </c>
      <c r="I13" t="s">
        <v>59</v>
      </c>
      <c r="J13" t="s">
        <v>161</v>
      </c>
    </row>
    <row r="14" spans="4:10" x14ac:dyDescent="0.3">
      <c r="D14" s="9" t="s">
        <v>73</v>
      </c>
      <c r="E14" s="9" t="s">
        <v>74</v>
      </c>
      <c r="I14" t="s">
        <v>392</v>
      </c>
      <c r="J14" t="s">
        <v>393</v>
      </c>
    </row>
    <row r="15" spans="4:10" x14ac:dyDescent="0.3">
      <c r="D15" s="9" t="s">
        <v>75</v>
      </c>
      <c r="E15" s="9" t="s">
        <v>76</v>
      </c>
      <c r="I15" t="s">
        <v>394</v>
      </c>
      <c r="J15" t="s">
        <v>395</v>
      </c>
    </row>
    <row r="16" spans="4:10" x14ac:dyDescent="0.3">
      <c r="D16" s="9" t="s">
        <v>77</v>
      </c>
      <c r="E16" s="9" t="s">
        <v>78</v>
      </c>
      <c r="I16" t="s">
        <v>396</v>
      </c>
      <c r="J16" t="s">
        <v>397</v>
      </c>
    </row>
    <row r="17" spans="4:10" x14ac:dyDescent="0.3">
      <c r="D17" s="9" t="s">
        <v>79</v>
      </c>
      <c r="E17" s="9" t="s">
        <v>80</v>
      </c>
      <c r="I17" t="s">
        <v>398</v>
      </c>
      <c r="J17" t="s">
        <v>399</v>
      </c>
    </row>
    <row r="18" spans="4:10" x14ac:dyDescent="0.3">
      <c r="D18" s="9" t="s">
        <v>81</v>
      </c>
      <c r="E18" s="9" t="s">
        <v>82</v>
      </c>
      <c r="I18" t="s">
        <v>400</v>
      </c>
      <c r="J18" t="s">
        <v>401</v>
      </c>
    </row>
    <row r="19" spans="4:10" x14ac:dyDescent="0.3">
      <c r="D19" s="9" t="s">
        <v>83</v>
      </c>
      <c r="E19" s="9" t="s">
        <v>84</v>
      </c>
      <c r="I19" t="s">
        <v>402</v>
      </c>
      <c r="J19" t="s">
        <v>403</v>
      </c>
    </row>
    <row r="20" spans="4:10" x14ac:dyDescent="0.3">
      <c r="D20" s="9" t="s">
        <v>85</v>
      </c>
      <c r="E20" s="9" t="s">
        <v>86</v>
      </c>
      <c r="I20" t="s">
        <v>404</v>
      </c>
      <c r="J20" t="s">
        <v>405</v>
      </c>
    </row>
    <row r="21" spans="4:10" x14ac:dyDescent="0.3">
      <c r="D21" s="9" t="s">
        <v>87</v>
      </c>
      <c r="E21" s="9" t="s">
        <v>88</v>
      </c>
      <c r="I21" t="s">
        <v>406</v>
      </c>
      <c r="J21" t="s">
        <v>407</v>
      </c>
    </row>
    <row r="22" spans="4:10" x14ac:dyDescent="0.3">
      <c r="D22" s="9" t="s">
        <v>89</v>
      </c>
      <c r="E22" s="9" t="s">
        <v>90</v>
      </c>
      <c r="I22" t="s">
        <v>408</v>
      </c>
      <c r="J22" t="s">
        <v>405</v>
      </c>
    </row>
    <row r="23" spans="4:10" x14ac:dyDescent="0.3">
      <c r="D23" s="9" t="s">
        <v>91</v>
      </c>
      <c r="E23" s="9" t="s">
        <v>92</v>
      </c>
      <c r="I23" t="s">
        <v>409</v>
      </c>
      <c r="J23" t="s">
        <v>410</v>
      </c>
    </row>
    <row r="24" spans="4:10" x14ac:dyDescent="0.3">
      <c r="D24" s="9" t="s">
        <v>93</v>
      </c>
      <c r="E24" s="9" t="s">
        <v>94</v>
      </c>
      <c r="I24" t="s">
        <v>411</v>
      </c>
      <c r="J24" t="s">
        <v>405</v>
      </c>
    </row>
    <row r="25" spans="4:10" x14ac:dyDescent="0.3">
      <c r="D25" s="9" t="s">
        <v>95</v>
      </c>
      <c r="E25" s="9" t="s">
        <v>96</v>
      </c>
      <c r="I25" t="s">
        <v>412</v>
      </c>
      <c r="J25" t="s">
        <v>413</v>
      </c>
    </row>
    <row r="26" spans="4:10" x14ac:dyDescent="0.3">
      <c r="D26" s="9" t="s">
        <v>97</v>
      </c>
      <c r="E26" s="9" t="s">
        <v>98</v>
      </c>
      <c r="I26" t="s">
        <v>414</v>
      </c>
      <c r="J26" t="s">
        <v>405</v>
      </c>
    </row>
    <row r="27" spans="4:10" x14ac:dyDescent="0.3">
      <c r="D27" s="9" t="s">
        <v>99</v>
      </c>
      <c r="E27" s="9" t="s">
        <v>100</v>
      </c>
      <c r="I27" t="s">
        <v>415</v>
      </c>
      <c r="J27" t="s">
        <v>416</v>
      </c>
    </row>
    <row r="28" spans="4:10" x14ac:dyDescent="0.3">
      <c r="D28" s="9" t="s">
        <v>175</v>
      </c>
      <c r="E28" s="9" t="s">
        <v>176</v>
      </c>
      <c r="I28" t="s">
        <v>417</v>
      </c>
      <c r="J28" t="s">
        <v>418</v>
      </c>
    </row>
    <row r="29" spans="4:10" x14ac:dyDescent="0.3">
      <c r="D29" s="9" t="s">
        <v>177</v>
      </c>
      <c r="E29" s="9" t="s">
        <v>178</v>
      </c>
      <c r="I29" t="s">
        <v>419</v>
      </c>
      <c r="J29" t="s">
        <v>420</v>
      </c>
    </row>
    <row r="30" spans="4:10" x14ac:dyDescent="0.3">
      <c r="D30" s="9" t="s">
        <v>179</v>
      </c>
      <c r="E30" s="9" t="s">
        <v>180</v>
      </c>
      <c r="I30" t="s">
        <v>421</v>
      </c>
      <c r="J30" t="s">
        <v>422</v>
      </c>
    </row>
    <row r="31" spans="4:10" x14ac:dyDescent="0.3">
      <c r="D31" s="9" t="s">
        <v>181</v>
      </c>
      <c r="E31" s="9" t="s">
        <v>182</v>
      </c>
      <c r="I31" t="s">
        <v>423</v>
      </c>
      <c r="J31" t="s">
        <v>424</v>
      </c>
    </row>
    <row r="32" spans="4:10" x14ac:dyDescent="0.3">
      <c r="D32" s="9" t="s">
        <v>183</v>
      </c>
      <c r="E32" s="9" t="s">
        <v>184</v>
      </c>
      <c r="I32" t="s">
        <v>425</v>
      </c>
      <c r="J32" t="s">
        <v>426</v>
      </c>
    </row>
    <row r="33" spans="4:10" x14ac:dyDescent="0.3">
      <c r="D33" s="9" t="s">
        <v>185</v>
      </c>
      <c r="E33" s="9" t="s">
        <v>186</v>
      </c>
      <c r="I33" t="s">
        <v>427</v>
      </c>
      <c r="J33" t="s">
        <v>428</v>
      </c>
    </row>
    <row r="34" spans="4:10" x14ac:dyDescent="0.3">
      <c r="D34" s="9" t="s">
        <v>187</v>
      </c>
      <c r="E34" s="9" t="s">
        <v>188</v>
      </c>
      <c r="I34" t="s">
        <v>429</v>
      </c>
      <c r="J34" t="s">
        <v>430</v>
      </c>
    </row>
    <row r="35" spans="4:10" x14ac:dyDescent="0.3">
      <c r="D35" s="9" t="s">
        <v>189</v>
      </c>
      <c r="E35" s="9" t="s">
        <v>190</v>
      </c>
      <c r="I35" t="s">
        <v>431</v>
      </c>
      <c r="J35" t="s">
        <v>432</v>
      </c>
    </row>
    <row r="36" spans="4:10" x14ac:dyDescent="0.3">
      <c r="D36" s="9" t="s">
        <v>191</v>
      </c>
      <c r="E36" s="9" t="s">
        <v>192</v>
      </c>
      <c r="I36" t="s">
        <v>433</v>
      </c>
      <c r="J36" t="s">
        <v>405</v>
      </c>
    </row>
    <row r="37" spans="4:10" x14ac:dyDescent="0.3">
      <c r="D37" s="9" t="s">
        <v>193</v>
      </c>
      <c r="E37" s="9" t="s">
        <v>194</v>
      </c>
      <c r="I37" t="s">
        <v>434</v>
      </c>
      <c r="J37" t="s">
        <v>435</v>
      </c>
    </row>
    <row r="38" spans="4:10" x14ac:dyDescent="0.3">
      <c r="D38" s="9" t="s">
        <v>195</v>
      </c>
      <c r="E38" s="9" t="s">
        <v>196</v>
      </c>
      <c r="I38" t="s">
        <v>436</v>
      </c>
      <c r="J38" t="s">
        <v>405</v>
      </c>
    </row>
    <row r="39" spans="4:10" x14ac:dyDescent="0.3">
      <c r="D39" s="9" t="s">
        <v>101</v>
      </c>
      <c r="E39" s="9" t="s">
        <v>102</v>
      </c>
      <c r="I39" t="s">
        <v>437</v>
      </c>
      <c r="J39" t="s">
        <v>438</v>
      </c>
    </row>
    <row r="40" spans="4:10" x14ac:dyDescent="0.3">
      <c r="D40" s="9" t="s">
        <v>197</v>
      </c>
      <c r="E40" s="9" t="s">
        <v>198</v>
      </c>
      <c r="I40" t="s">
        <v>439</v>
      </c>
      <c r="J40" t="s">
        <v>405</v>
      </c>
    </row>
    <row r="41" spans="4:10" x14ac:dyDescent="0.3">
      <c r="D41" s="9" t="s">
        <v>164</v>
      </c>
      <c r="E41" s="9" t="s">
        <v>165</v>
      </c>
      <c r="I41" t="s">
        <v>440</v>
      </c>
      <c r="J41" t="s">
        <v>441</v>
      </c>
    </row>
    <row r="42" spans="4:10" x14ac:dyDescent="0.3">
      <c r="D42" s="9" t="s">
        <v>199</v>
      </c>
      <c r="E42" s="9" t="s">
        <v>200</v>
      </c>
      <c r="I42" t="s">
        <v>442</v>
      </c>
      <c r="J42" t="s">
        <v>405</v>
      </c>
    </row>
    <row r="43" spans="4:10" x14ac:dyDescent="0.3">
      <c r="D43" s="9" t="s">
        <v>103</v>
      </c>
      <c r="E43" s="9" t="s">
        <v>104</v>
      </c>
      <c r="I43" t="s">
        <v>443</v>
      </c>
      <c r="J43" t="s">
        <v>444</v>
      </c>
    </row>
    <row r="44" spans="4:10" x14ac:dyDescent="0.3">
      <c r="D44" s="9" t="s">
        <v>105</v>
      </c>
      <c r="E44" s="9" t="s">
        <v>106</v>
      </c>
      <c r="I44" t="s">
        <v>445</v>
      </c>
      <c r="J44" t="s">
        <v>405</v>
      </c>
    </row>
    <row r="45" spans="4:10" x14ac:dyDescent="0.3">
      <c r="D45" s="9" t="s">
        <v>107</v>
      </c>
      <c r="E45" s="9" t="s">
        <v>108</v>
      </c>
      <c r="I45" t="s">
        <v>446</v>
      </c>
      <c r="J45" t="s">
        <v>447</v>
      </c>
    </row>
    <row r="46" spans="4:10" x14ac:dyDescent="0.3">
      <c r="D46" s="9" t="s">
        <v>109</v>
      </c>
      <c r="E46" s="9" t="s">
        <v>110</v>
      </c>
      <c r="I46" t="s">
        <v>448</v>
      </c>
      <c r="J46" t="s">
        <v>405</v>
      </c>
    </row>
    <row r="47" spans="4:10" x14ac:dyDescent="0.3">
      <c r="D47" s="9" t="s">
        <v>111</v>
      </c>
      <c r="E47" s="9" t="s">
        <v>112</v>
      </c>
      <c r="I47" t="s">
        <v>449</v>
      </c>
      <c r="J47" t="s">
        <v>450</v>
      </c>
    </row>
    <row r="48" spans="4:10" x14ac:dyDescent="0.3">
      <c r="D48" s="9" t="s">
        <v>113</v>
      </c>
      <c r="E48" s="9" t="s">
        <v>114</v>
      </c>
      <c r="I48" t="s">
        <v>451</v>
      </c>
      <c r="J48" t="s">
        <v>452</v>
      </c>
    </row>
    <row r="49" spans="4:10" x14ac:dyDescent="0.3">
      <c r="D49" s="9" t="s">
        <v>115</v>
      </c>
      <c r="E49" s="9" t="s">
        <v>116</v>
      </c>
      <c r="I49" t="s">
        <v>453</v>
      </c>
      <c r="J49" t="s">
        <v>454</v>
      </c>
    </row>
    <row r="50" spans="4:10" x14ac:dyDescent="0.3">
      <c r="D50" s="9" t="s">
        <v>117</v>
      </c>
      <c r="E50" s="9" t="s">
        <v>118</v>
      </c>
      <c r="I50" t="s">
        <v>455</v>
      </c>
      <c r="J50" t="s">
        <v>405</v>
      </c>
    </row>
    <row r="51" spans="4:10" x14ac:dyDescent="0.3">
      <c r="D51" s="9" t="s">
        <v>119</v>
      </c>
      <c r="E51" s="9" t="s">
        <v>120</v>
      </c>
      <c r="I51" t="s">
        <v>456</v>
      </c>
      <c r="J51" t="s">
        <v>457</v>
      </c>
    </row>
    <row r="52" spans="4:10" x14ac:dyDescent="0.3">
      <c r="D52" s="9" t="s">
        <v>121</v>
      </c>
      <c r="E52" s="9" t="s">
        <v>122</v>
      </c>
      <c r="I52" t="s">
        <v>458</v>
      </c>
      <c r="J52" t="s">
        <v>459</v>
      </c>
    </row>
    <row r="53" spans="4:10" x14ac:dyDescent="0.3">
      <c r="D53" s="9" t="s">
        <v>123</v>
      </c>
      <c r="E53" s="9" t="s">
        <v>124</v>
      </c>
      <c r="I53" t="s">
        <v>460</v>
      </c>
      <c r="J53" t="s">
        <v>461</v>
      </c>
    </row>
    <row r="54" spans="4:10" x14ac:dyDescent="0.3">
      <c r="D54" s="9" t="s">
        <v>125</v>
      </c>
      <c r="E54" s="9" t="s">
        <v>126</v>
      </c>
      <c r="I54" t="s">
        <v>462</v>
      </c>
      <c r="J54" t="s">
        <v>463</v>
      </c>
    </row>
    <row r="55" spans="4:10" x14ac:dyDescent="0.3">
      <c r="D55" s="9" t="s">
        <v>127</v>
      </c>
      <c r="E55" s="9" t="s">
        <v>128</v>
      </c>
      <c r="I55" t="s">
        <v>464</v>
      </c>
      <c r="J55" t="s">
        <v>465</v>
      </c>
    </row>
    <row r="56" spans="4:10" x14ac:dyDescent="0.3">
      <c r="D56" s="9" t="s">
        <v>129</v>
      </c>
      <c r="E56" s="9" t="s">
        <v>130</v>
      </c>
      <c r="I56" t="s">
        <v>466</v>
      </c>
      <c r="J56" t="s">
        <v>467</v>
      </c>
    </row>
    <row r="57" spans="4:10" x14ac:dyDescent="0.3">
      <c r="D57" s="9" t="s">
        <v>131</v>
      </c>
      <c r="E57" s="9" t="s">
        <v>132</v>
      </c>
      <c r="I57" t="s">
        <v>468</v>
      </c>
      <c r="J57" t="s">
        <v>469</v>
      </c>
    </row>
    <row r="58" spans="4:10" x14ac:dyDescent="0.3">
      <c r="D58" s="9" t="s">
        <v>133</v>
      </c>
      <c r="E58" s="9" t="s">
        <v>134</v>
      </c>
      <c r="I58" t="s">
        <v>470</v>
      </c>
      <c r="J58" t="s">
        <v>471</v>
      </c>
    </row>
    <row r="59" spans="4:10" x14ac:dyDescent="0.3">
      <c r="D59" s="9" t="s">
        <v>166</v>
      </c>
      <c r="E59" s="9" t="s">
        <v>167</v>
      </c>
      <c r="I59" t="s">
        <v>472</v>
      </c>
      <c r="J59" t="s">
        <v>473</v>
      </c>
    </row>
    <row r="60" spans="4:10" x14ac:dyDescent="0.3">
      <c r="D60" s="9" t="s">
        <v>201</v>
      </c>
      <c r="E60" s="9" t="s">
        <v>202</v>
      </c>
      <c r="I60" t="s">
        <v>474</v>
      </c>
      <c r="J60" t="s">
        <v>475</v>
      </c>
    </row>
    <row r="61" spans="4:10" x14ac:dyDescent="0.3">
      <c r="D61" s="9" t="s">
        <v>203</v>
      </c>
      <c r="E61" s="9" t="s">
        <v>204</v>
      </c>
      <c r="I61" t="s">
        <v>476</v>
      </c>
      <c r="J61" t="s">
        <v>477</v>
      </c>
    </row>
    <row r="62" spans="4:10" x14ac:dyDescent="0.3">
      <c r="D62" s="9" t="s">
        <v>168</v>
      </c>
      <c r="E62" s="9" t="s">
        <v>169</v>
      </c>
      <c r="I62" t="s">
        <v>478</v>
      </c>
      <c r="J62" t="s">
        <v>479</v>
      </c>
    </row>
    <row r="63" spans="4:10" x14ac:dyDescent="0.3">
      <c r="D63" s="9" t="s">
        <v>205</v>
      </c>
      <c r="E63" s="9" t="s">
        <v>206</v>
      </c>
      <c r="I63" t="s">
        <v>61</v>
      </c>
      <c r="J63" t="s">
        <v>78</v>
      </c>
    </row>
    <row r="64" spans="4:10" x14ac:dyDescent="0.3">
      <c r="D64" s="9" t="s">
        <v>207</v>
      </c>
      <c r="E64" s="9" t="s">
        <v>208</v>
      </c>
      <c r="I64" t="s">
        <v>480</v>
      </c>
      <c r="J64" t="s">
        <v>481</v>
      </c>
    </row>
    <row r="65" spans="4:10" x14ac:dyDescent="0.3">
      <c r="D65" s="9" t="s">
        <v>209</v>
      </c>
      <c r="E65" s="9" t="s">
        <v>210</v>
      </c>
      <c r="I65" t="s">
        <v>482</v>
      </c>
      <c r="J65" t="s">
        <v>483</v>
      </c>
    </row>
    <row r="66" spans="4:10" x14ac:dyDescent="0.3">
      <c r="D66" s="9" t="s">
        <v>211</v>
      </c>
      <c r="E66" s="9" t="s">
        <v>212</v>
      </c>
      <c r="I66" t="s">
        <v>63</v>
      </c>
      <c r="J66" t="s">
        <v>84</v>
      </c>
    </row>
    <row r="67" spans="4:10" x14ac:dyDescent="0.3">
      <c r="D67" s="9" t="s">
        <v>213</v>
      </c>
      <c r="E67" s="9" t="s">
        <v>214</v>
      </c>
      <c r="I67" t="s">
        <v>484</v>
      </c>
      <c r="J67" t="s">
        <v>485</v>
      </c>
    </row>
    <row r="68" spans="4:10" x14ac:dyDescent="0.3">
      <c r="D68" s="9" t="s">
        <v>215</v>
      </c>
      <c r="E68" s="9" t="s">
        <v>216</v>
      </c>
      <c r="I68" t="s">
        <v>486</v>
      </c>
      <c r="J68" t="s">
        <v>487</v>
      </c>
    </row>
    <row r="69" spans="4:10" x14ac:dyDescent="0.3">
      <c r="D69" s="9" t="s">
        <v>217</v>
      </c>
      <c r="E69" s="9" t="s">
        <v>218</v>
      </c>
      <c r="I69" t="s">
        <v>65</v>
      </c>
      <c r="J69" t="s">
        <v>157</v>
      </c>
    </row>
    <row r="70" spans="4:10" x14ac:dyDescent="0.3">
      <c r="D70" s="9" t="s">
        <v>219</v>
      </c>
      <c r="E70" s="9" t="s">
        <v>220</v>
      </c>
      <c r="I70" t="s">
        <v>488</v>
      </c>
      <c r="J70" t="s">
        <v>489</v>
      </c>
    </row>
    <row r="71" spans="4:10" x14ac:dyDescent="0.3">
      <c r="D71" s="9" t="s">
        <v>221</v>
      </c>
      <c r="E71" s="9" t="s">
        <v>222</v>
      </c>
      <c r="I71" t="s">
        <v>490</v>
      </c>
      <c r="J71" t="s">
        <v>491</v>
      </c>
    </row>
    <row r="72" spans="4:10" x14ac:dyDescent="0.3">
      <c r="D72" s="9" t="s">
        <v>223</v>
      </c>
      <c r="E72" s="9" t="s">
        <v>224</v>
      </c>
      <c r="I72" t="s">
        <v>67</v>
      </c>
      <c r="J72" t="s">
        <v>76</v>
      </c>
    </row>
    <row r="73" spans="4:10" x14ac:dyDescent="0.3">
      <c r="D73" s="9" t="s">
        <v>135</v>
      </c>
      <c r="E73" s="9" t="s">
        <v>136</v>
      </c>
      <c r="I73" t="s">
        <v>492</v>
      </c>
      <c r="J73" t="s">
        <v>493</v>
      </c>
    </row>
    <row r="74" spans="4:10" x14ac:dyDescent="0.3">
      <c r="D74" s="9" t="s">
        <v>225</v>
      </c>
      <c r="E74" s="9" t="s">
        <v>226</v>
      </c>
      <c r="I74" t="s">
        <v>494</v>
      </c>
      <c r="J74" t="s">
        <v>495</v>
      </c>
    </row>
    <row r="75" spans="4:10" x14ac:dyDescent="0.3">
      <c r="D75" s="9" t="s">
        <v>227</v>
      </c>
      <c r="E75" s="9" t="s">
        <v>228</v>
      </c>
      <c r="I75" t="s">
        <v>69</v>
      </c>
      <c r="J75" t="s">
        <v>68</v>
      </c>
    </row>
    <row r="76" spans="4:10" x14ac:dyDescent="0.3">
      <c r="D76" s="9" t="s">
        <v>229</v>
      </c>
      <c r="E76" s="9" t="s">
        <v>230</v>
      </c>
      <c r="I76" t="s">
        <v>496</v>
      </c>
      <c r="J76" t="s">
        <v>497</v>
      </c>
    </row>
    <row r="77" spans="4:10" x14ac:dyDescent="0.3">
      <c r="D77" s="9" t="s">
        <v>231</v>
      </c>
      <c r="E77" s="9" t="s">
        <v>232</v>
      </c>
      <c r="I77" t="s">
        <v>498</v>
      </c>
      <c r="J77" t="s">
        <v>499</v>
      </c>
    </row>
    <row r="78" spans="4:10" x14ac:dyDescent="0.3">
      <c r="D78" s="9" t="s">
        <v>233</v>
      </c>
      <c r="E78" s="9" t="s">
        <v>234</v>
      </c>
      <c r="I78" t="s">
        <v>71</v>
      </c>
      <c r="J78" t="s">
        <v>64</v>
      </c>
    </row>
    <row r="79" spans="4:10" x14ac:dyDescent="0.3">
      <c r="D79" s="9" t="s">
        <v>235</v>
      </c>
      <c r="E79" s="9" t="s">
        <v>236</v>
      </c>
      <c r="I79" t="s">
        <v>500</v>
      </c>
      <c r="J79" t="s">
        <v>501</v>
      </c>
    </row>
    <row r="80" spans="4:10" x14ac:dyDescent="0.3">
      <c r="D80" s="9" t="s">
        <v>237</v>
      </c>
      <c r="E80" s="9" t="s">
        <v>238</v>
      </c>
      <c r="I80" t="s">
        <v>502</v>
      </c>
      <c r="J80" t="s">
        <v>503</v>
      </c>
    </row>
    <row r="81" spans="4:10" x14ac:dyDescent="0.3">
      <c r="D81" s="9" t="s">
        <v>239</v>
      </c>
      <c r="E81" s="9" t="s">
        <v>240</v>
      </c>
      <c r="I81" t="s">
        <v>73</v>
      </c>
      <c r="J81" t="s">
        <v>72</v>
      </c>
    </row>
    <row r="82" spans="4:10" x14ac:dyDescent="0.3">
      <c r="D82" s="9" t="s">
        <v>241</v>
      </c>
      <c r="E82" s="9" t="s">
        <v>242</v>
      </c>
      <c r="I82" t="s">
        <v>504</v>
      </c>
      <c r="J82" t="s">
        <v>505</v>
      </c>
    </row>
    <row r="83" spans="4:10" x14ac:dyDescent="0.3">
      <c r="D83" s="9" t="s">
        <v>243</v>
      </c>
      <c r="E83" s="9" t="s">
        <v>244</v>
      </c>
      <c r="I83" t="s">
        <v>506</v>
      </c>
      <c r="J83" t="s">
        <v>507</v>
      </c>
    </row>
    <row r="84" spans="4:10" x14ac:dyDescent="0.3">
      <c r="D84" s="9" t="s">
        <v>56</v>
      </c>
      <c r="E84" s="9" t="s">
        <v>137</v>
      </c>
      <c r="I84" t="s">
        <v>75</v>
      </c>
      <c r="J84" t="s">
        <v>62</v>
      </c>
    </row>
    <row r="85" spans="4:10" x14ac:dyDescent="0.3">
      <c r="D85" s="9" t="s">
        <v>138</v>
      </c>
      <c r="E85" s="9" t="s">
        <v>139</v>
      </c>
      <c r="I85" t="s">
        <v>508</v>
      </c>
      <c r="J85" t="s">
        <v>509</v>
      </c>
    </row>
    <row r="86" spans="4:10" x14ac:dyDescent="0.3">
      <c r="D86" s="9" t="s">
        <v>140</v>
      </c>
      <c r="E86" s="9" t="s">
        <v>141</v>
      </c>
      <c r="I86" t="s">
        <v>510</v>
      </c>
      <c r="J86" t="s">
        <v>511</v>
      </c>
    </row>
    <row r="87" spans="4:10" x14ac:dyDescent="0.3">
      <c r="D87" s="9" t="s">
        <v>142</v>
      </c>
      <c r="E87" s="9" t="s">
        <v>143</v>
      </c>
      <c r="I87" t="s">
        <v>77</v>
      </c>
      <c r="J87" t="s">
        <v>74</v>
      </c>
    </row>
    <row r="88" spans="4:10" x14ac:dyDescent="0.3">
      <c r="D88" s="9" t="s">
        <v>144</v>
      </c>
      <c r="E88" s="9" t="s">
        <v>145</v>
      </c>
      <c r="I88" t="s">
        <v>512</v>
      </c>
      <c r="J88" t="s">
        <v>513</v>
      </c>
    </row>
    <row r="89" spans="4:10" x14ac:dyDescent="0.3">
      <c r="D89" s="9" t="s">
        <v>146</v>
      </c>
      <c r="E89" s="9" t="s">
        <v>147</v>
      </c>
      <c r="I89" t="s">
        <v>514</v>
      </c>
      <c r="J89" t="s">
        <v>515</v>
      </c>
    </row>
    <row r="90" spans="4:10" x14ac:dyDescent="0.3">
      <c r="D90" s="9" t="s">
        <v>148</v>
      </c>
      <c r="E90" s="9" t="s">
        <v>149</v>
      </c>
      <c r="I90" t="s">
        <v>79</v>
      </c>
      <c r="J90" t="s">
        <v>66</v>
      </c>
    </row>
    <row r="91" spans="4:10" x14ac:dyDescent="0.3">
      <c r="D91" s="9" t="s">
        <v>150</v>
      </c>
      <c r="E91" s="9" t="s">
        <v>151</v>
      </c>
      <c r="I91" t="s">
        <v>516</v>
      </c>
      <c r="J91" t="s">
        <v>517</v>
      </c>
    </row>
    <row r="92" spans="4:10" x14ac:dyDescent="0.3">
      <c r="D92" s="9" t="s">
        <v>245</v>
      </c>
      <c r="E92" s="9" t="s">
        <v>246</v>
      </c>
      <c r="I92" t="s">
        <v>518</v>
      </c>
      <c r="J92" t="s">
        <v>519</v>
      </c>
    </row>
    <row r="93" spans="4:10" x14ac:dyDescent="0.3">
      <c r="D93" s="9" t="s">
        <v>247</v>
      </c>
      <c r="E93" s="9" t="s">
        <v>248</v>
      </c>
      <c r="I93" t="s">
        <v>81</v>
      </c>
      <c r="J93" t="s">
        <v>80</v>
      </c>
    </row>
    <row r="94" spans="4:10" x14ac:dyDescent="0.3">
      <c r="D94" s="9" t="s">
        <v>249</v>
      </c>
      <c r="E94" s="9" t="s">
        <v>250</v>
      </c>
      <c r="I94" t="s">
        <v>520</v>
      </c>
      <c r="J94" t="s">
        <v>521</v>
      </c>
    </row>
    <row r="95" spans="4:10" x14ac:dyDescent="0.3">
      <c r="D95" s="9" t="s">
        <v>251</v>
      </c>
      <c r="E95" s="9" t="s">
        <v>252</v>
      </c>
      <c r="I95" t="s">
        <v>522</v>
      </c>
      <c r="J95" t="s">
        <v>523</v>
      </c>
    </row>
    <row r="96" spans="4:10" x14ac:dyDescent="0.3">
      <c r="D96" s="9" t="s">
        <v>253</v>
      </c>
      <c r="E96" s="9" t="s">
        <v>254</v>
      </c>
      <c r="I96" t="s">
        <v>83</v>
      </c>
      <c r="J96" t="s">
        <v>82</v>
      </c>
    </row>
    <row r="97" spans="4:10" x14ac:dyDescent="0.3">
      <c r="D97" s="9" t="s">
        <v>255</v>
      </c>
      <c r="E97" s="9" t="s">
        <v>256</v>
      </c>
      <c r="I97" t="s">
        <v>524</v>
      </c>
      <c r="J97" t="s">
        <v>525</v>
      </c>
    </row>
    <row r="98" spans="4:10" x14ac:dyDescent="0.3">
      <c r="D98" s="9" t="s">
        <v>257</v>
      </c>
      <c r="E98" s="9" t="s">
        <v>258</v>
      </c>
      <c r="I98" t="s">
        <v>526</v>
      </c>
      <c r="J98" t="s">
        <v>527</v>
      </c>
    </row>
    <row r="99" spans="4:10" x14ac:dyDescent="0.3">
      <c r="D99" s="9" t="s">
        <v>259</v>
      </c>
      <c r="E99" s="9" t="s">
        <v>260</v>
      </c>
      <c r="I99" t="s">
        <v>528</v>
      </c>
      <c r="J99" t="s">
        <v>137</v>
      </c>
    </row>
    <row r="100" spans="4:10" x14ac:dyDescent="0.3">
      <c r="D100" s="9" t="s">
        <v>261</v>
      </c>
      <c r="E100" s="9" t="s">
        <v>262</v>
      </c>
      <c r="I100" t="s">
        <v>529</v>
      </c>
      <c r="J100" t="s">
        <v>139</v>
      </c>
    </row>
    <row r="101" spans="4:10" x14ac:dyDescent="0.3">
      <c r="D101" s="9" t="s">
        <v>170</v>
      </c>
      <c r="E101" s="9" t="s">
        <v>171</v>
      </c>
      <c r="I101" t="s">
        <v>530</v>
      </c>
      <c r="J101" t="s">
        <v>141</v>
      </c>
    </row>
    <row r="102" spans="4:10" x14ac:dyDescent="0.3">
      <c r="D102" s="9" t="s">
        <v>263</v>
      </c>
      <c r="E102" s="9" t="s">
        <v>264</v>
      </c>
      <c r="I102" t="s">
        <v>531</v>
      </c>
      <c r="J102" t="s">
        <v>143</v>
      </c>
    </row>
    <row r="103" spans="4:10" x14ac:dyDescent="0.3">
      <c r="D103" s="9" t="s">
        <v>265</v>
      </c>
      <c r="E103" s="9" t="s">
        <v>266</v>
      </c>
      <c r="I103" t="s">
        <v>532</v>
      </c>
      <c r="J103" t="s">
        <v>145</v>
      </c>
    </row>
    <row r="104" spans="4:10" x14ac:dyDescent="0.3">
      <c r="D104" s="9" t="s">
        <v>267</v>
      </c>
      <c r="E104" s="9" t="s">
        <v>268</v>
      </c>
      <c r="I104" t="s">
        <v>533</v>
      </c>
      <c r="J104" t="s">
        <v>147</v>
      </c>
    </row>
    <row r="105" spans="4:10" x14ac:dyDescent="0.3">
      <c r="D105" s="9" t="s">
        <v>269</v>
      </c>
      <c r="E105" s="9" t="s">
        <v>270</v>
      </c>
      <c r="I105" t="s">
        <v>534</v>
      </c>
      <c r="J105" t="s">
        <v>149</v>
      </c>
    </row>
    <row r="106" spans="4:10" x14ac:dyDescent="0.3">
      <c r="D106" s="9" t="s">
        <v>271</v>
      </c>
      <c r="E106" s="9" t="s">
        <v>272</v>
      </c>
      <c r="I106" t="s">
        <v>535</v>
      </c>
      <c r="J106" t="s">
        <v>151</v>
      </c>
    </row>
    <row r="107" spans="4:10" x14ac:dyDescent="0.3">
      <c r="D107" s="9" t="s">
        <v>273</v>
      </c>
      <c r="E107" s="9" t="s">
        <v>274</v>
      </c>
      <c r="I107" t="s">
        <v>85</v>
      </c>
      <c r="J107" t="s">
        <v>536</v>
      </c>
    </row>
    <row r="108" spans="4:10" x14ac:dyDescent="0.3">
      <c r="D108" s="9" t="s">
        <v>275</v>
      </c>
      <c r="E108" s="9" t="s">
        <v>276</v>
      </c>
      <c r="I108" t="s">
        <v>87</v>
      </c>
      <c r="J108" t="s">
        <v>537</v>
      </c>
    </row>
    <row r="109" spans="4:10" x14ac:dyDescent="0.3">
      <c r="D109" s="9" t="s">
        <v>277</v>
      </c>
      <c r="E109" s="9" t="s">
        <v>278</v>
      </c>
      <c r="I109" t="s">
        <v>89</v>
      </c>
      <c r="J109" t="s">
        <v>538</v>
      </c>
    </row>
    <row r="110" spans="4:10" x14ac:dyDescent="0.3">
      <c r="D110" s="9" t="s">
        <v>279</v>
      </c>
      <c r="E110" s="9" t="s">
        <v>280</v>
      </c>
      <c r="I110" t="s">
        <v>91</v>
      </c>
      <c r="J110" t="s">
        <v>539</v>
      </c>
    </row>
    <row r="111" spans="4:10" x14ac:dyDescent="0.3">
      <c r="D111" s="9" t="s">
        <v>281</v>
      </c>
      <c r="E111" s="9" t="s">
        <v>282</v>
      </c>
      <c r="I111" t="s">
        <v>93</v>
      </c>
      <c r="J111" t="s">
        <v>540</v>
      </c>
    </row>
    <row r="112" spans="4:10" x14ac:dyDescent="0.3">
      <c r="D112" s="9" t="s">
        <v>283</v>
      </c>
      <c r="E112" s="9" t="s">
        <v>284</v>
      </c>
      <c r="I112" t="s">
        <v>95</v>
      </c>
      <c r="J112" t="s">
        <v>541</v>
      </c>
    </row>
    <row r="113" spans="4:10" x14ac:dyDescent="0.3">
      <c r="D113" s="9" t="s">
        <v>285</v>
      </c>
      <c r="E113" s="9" t="s">
        <v>286</v>
      </c>
      <c r="I113" t="s">
        <v>97</v>
      </c>
      <c r="J113" t="s">
        <v>542</v>
      </c>
    </row>
    <row r="114" spans="4:10" x14ac:dyDescent="0.3">
      <c r="D114" s="9" t="s">
        <v>287</v>
      </c>
      <c r="E114" s="9" t="s">
        <v>288</v>
      </c>
      <c r="I114" t="s">
        <v>99</v>
      </c>
      <c r="J114" t="s">
        <v>543</v>
      </c>
    </row>
    <row r="115" spans="4:10" x14ac:dyDescent="0.3">
      <c r="D115" s="9" t="s">
        <v>289</v>
      </c>
      <c r="E115" s="9" t="s">
        <v>290</v>
      </c>
      <c r="I115" t="s">
        <v>175</v>
      </c>
      <c r="J115" t="s">
        <v>282</v>
      </c>
    </row>
    <row r="116" spans="4:10" x14ac:dyDescent="0.3">
      <c r="D116" s="9" t="s">
        <v>291</v>
      </c>
      <c r="E116" s="9" t="s">
        <v>292</v>
      </c>
      <c r="I116" t="s">
        <v>177</v>
      </c>
      <c r="J116" t="s">
        <v>284</v>
      </c>
    </row>
    <row r="117" spans="4:10" x14ac:dyDescent="0.3">
      <c r="D117" s="9" t="s">
        <v>293</v>
      </c>
      <c r="E117" s="9" t="s">
        <v>294</v>
      </c>
      <c r="I117" t="s">
        <v>179</v>
      </c>
      <c r="J117" t="s">
        <v>286</v>
      </c>
    </row>
    <row r="118" spans="4:10" x14ac:dyDescent="0.3">
      <c r="D118" s="9" t="s">
        <v>295</v>
      </c>
      <c r="E118" s="9" t="s">
        <v>296</v>
      </c>
      <c r="I118" t="s">
        <v>181</v>
      </c>
      <c r="J118" t="s">
        <v>288</v>
      </c>
    </row>
    <row r="119" spans="4:10" x14ac:dyDescent="0.3">
      <c r="D119" s="9" t="s">
        <v>297</v>
      </c>
      <c r="E119" s="9" t="s">
        <v>298</v>
      </c>
      <c r="I119" t="s">
        <v>183</v>
      </c>
      <c r="J119" t="s">
        <v>290</v>
      </c>
    </row>
    <row r="120" spans="4:10" x14ac:dyDescent="0.3">
      <c r="D120" s="9" t="s">
        <v>299</v>
      </c>
      <c r="E120" s="9" t="s">
        <v>300</v>
      </c>
      <c r="I120" t="s">
        <v>185</v>
      </c>
      <c r="J120" t="s">
        <v>292</v>
      </c>
    </row>
    <row r="121" spans="4:10" x14ac:dyDescent="0.3">
      <c r="D121" s="9" t="s">
        <v>301</v>
      </c>
      <c r="E121" s="9" t="s">
        <v>302</v>
      </c>
      <c r="I121" t="s">
        <v>187</v>
      </c>
      <c r="J121" t="s">
        <v>294</v>
      </c>
    </row>
    <row r="122" spans="4:10" x14ac:dyDescent="0.3">
      <c r="D122" s="9" t="s">
        <v>303</v>
      </c>
      <c r="E122" s="9" t="s">
        <v>304</v>
      </c>
      <c r="I122" t="s">
        <v>189</v>
      </c>
      <c r="J122" t="s">
        <v>296</v>
      </c>
    </row>
    <row r="123" spans="4:10" x14ac:dyDescent="0.3">
      <c r="D123" s="9" t="s">
        <v>305</v>
      </c>
      <c r="E123" s="9" t="s">
        <v>306</v>
      </c>
      <c r="I123" t="s">
        <v>191</v>
      </c>
      <c r="J123" t="s">
        <v>318</v>
      </c>
    </row>
    <row r="124" spans="4:10" x14ac:dyDescent="0.3">
      <c r="D124" s="9" t="s">
        <v>307</v>
      </c>
      <c r="E124" s="9" t="s">
        <v>308</v>
      </c>
      <c r="I124" t="s">
        <v>193</v>
      </c>
      <c r="J124" t="s">
        <v>206</v>
      </c>
    </row>
    <row r="125" spans="4:10" x14ac:dyDescent="0.3">
      <c r="D125" s="9" t="s">
        <v>309</v>
      </c>
      <c r="E125" s="9" t="s">
        <v>310</v>
      </c>
      <c r="I125" t="s">
        <v>195</v>
      </c>
      <c r="J125" t="s">
        <v>262</v>
      </c>
    </row>
    <row r="126" spans="4:10" x14ac:dyDescent="0.3">
      <c r="D126" s="9" t="s">
        <v>311</v>
      </c>
      <c r="E126" s="9" t="s">
        <v>312</v>
      </c>
      <c r="I126" t="s">
        <v>101</v>
      </c>
      <c r="J126" t="s">
        <v>544</v>
      </c>
    </row>
    <row r="127" spans="4:10" x14ac:dyDescent="0.3">
      <c r="D127" s="9" t="s">
        <v>313</v>
      </c>
      <c r="E127" s="9" t="s">
        <v>314</v>
      </c>
      <c r="I127" t="s">
        <v>545</v>
      </c>
      <c r="J127" t="s">
        <v>544</v>
      </c>
    </row>
    <row r="128" spans="4:10" x14ac:dyDescent="0.3">
      <c r="D128" s="9" t="s">
        <v>315</v>
      </c>
      <c r="E128" s="9" t="s">
        <v>316</v>
      </c>
      <c r="I128" t="s">
        <v>197</v>
      </c>
      <c r="J128" t="s">
        <v>316</v>
      </c>
    </row>
    <row r="129" spans="4:10" x14ac:dyDescent="0.3">
      <c r="D129" s="9" t="s">
        <v>317</v>
      </c>
      <c r="E129" s="9" t="s">
        <v>318</v>
      </c>
      <c r="I129" t="s">
        <v>164</v>
      </c>
      <c r="J129" t="s">
        <v>169</v>
      </c>
    </row>
    <row r="130" spans="4:10" x14ac:dyDescent="0.3">
      <c r="D130" s="46" t="s">
        <v>319</v>
      </c>
      <c r="E130" s="46" t="s">
        <v>320</v>
      </c>
      <c r="I130" t="s">
        <v>199</v>
      </c>
      <c r="J130" t="s">
        <v>200</v>
      </c>
    </row>
    <row r="131" spans="4:10" x14ac:dyDescent="0.3">
      <c r="D131" s="46" t="s">
        <v>321</v>
      </c>
      <c r="E131" s="46" t="s">
        <v>322</v>
      </c>
      <c r="I131" t="s">
        <v>103</v>
      </c>
      <c r="J131" t="s">
        <v>104</v>
      </c>
    </row>
    <row r="132" spans="4:10" x14ac:dyDescent="0.3">
      <c r="D132" s="46" t="s">
        <v>323</v>
      </c>
      <c r="E132" s="46" t="s">
        <v>324</v>
      </c>
      <c r="I132" t="s">
        <v>105</v>
      </c>
      <c r="J132" t="s">
        <v>106</v>
      </c>
    </row>
    <row r="133" spans="4:10" x14ac:dyDescent="0.3">
      <c r="D133" s="46" t="s">
        <v>325</v>
      </c>
      <c r="E133" s="46" t="s">
        <v>326</v>
      </c>
      <c r="I133" t="s">
        <v>107</v>
      </c>
      <c r="J133" t="s">
        <v>108</v>
      </c>
    </row>
    <row r="134" spans="4:10" x14ac:dyDescent="0.3">
      <c r="D134" s="46" t="s">
        <v>327</v>
      </c>
      <c r="E134" s="46" t="s">
        <v>328</v>
      </c>
      <c r="I134" t="s">
        <v>109</v>
      </c>
      <c r="J134" t="s">
        <v>110</v>
      </c>
    </row>
    <row r="135" spans="4:10" x14ac:dyDescent="0.3">
      <c r="D135" s="46" t="s">
        <v>329</v>
      </c>
      <c r="E135" s="46" t="s">
        <v>330</v>
      </c>
      <c r="I135" t="s">
        <v>111</v>
      </c>
      <c r="J135" t="s">
        <v>112</v>
      </c>
    </row>
    <row r="136" spans="4:10" x14ac:dyDescent="0.3">
      <c r="D136" s="46" t="s">
        <v>331</v>
      </c>
      <c r="E136" s="46" t="s">
        <v>332</v>
      </c>
      <c r="I136" t="s">
        <v>113</v>
      </c>
      <c r="J136" t="s">
        <v>114</v>
      </c>
    </row>
    <row r="137" spans="4:10" x14ac:dyDescent="0.3">
      <c r="D137" s="46" t="s">
        <v>333</v>
      </c>
      <c r="E137" s="46" t="s">
        <v>334</v>
      </c>
      <c r="I137" t="s">
        <v>115</v>
      </c>
      <c r="J137" t="s">
        <v>116</v>
      </c>
    </row>
    <row r="138" spans="4:10" x14ac:dyDescent="0.3">
      <c r="D138" s="46" t="s">
        <v>335</v>
      </c>
      <c r="E138" s="46" t="s">
        <v>336</v>
      </c>
      <c r="I138" t="s">
        <v>117</v>
      </c>
      <c r="J138" t="s">
        <v>118</v>
      </c>
    </row>
    <row r="139" spans="4:10" x14ac:dyDescent="0.3">
      <c r="D139" s="46" t="s">
        <v>337</v>
      </c>
      <c r="E139" s="46" t="s">
        <v>338</v>
      </c>
      <c r="I139" t="s">
        <v>546</v>
      </c>
      <c r="J139" t="s">
        <v>547</v>
      </c>
    </row>
    <row r="140" spans="4:10" x14ac:dyDescent="0.3">
      <c r="D140" s="46" t="s">
        <v>339</v>
      </c>
      <c r="E140" s="46" t="s">
        <v>340</v>
      </c>
      <c r="I140" t="s">
        <v>119</v>
      </c>
      <c r="J140" t="s">
        <v>120</v>
      </c>
    </row>
    <row r="141" spans="4:10" x14ac:dyDescent="0.3">
      <c r="D141" s="46" t="s">
        <v>341</v>
      </c>
      <c r="E141" s="46" t="s">
        <v>342</v>
      </c>
      <c r="I141" t="s">
        <v>121</v>
      </c>
      <c r="J141" t="s">
        <v>122</v>
      </c>
    </row>
    <row r="142" spans="4:10" x14ac:dyDescent="0.3">
      <c r="D142" s="46" t="s">
        <v>343</v>
      </c>
      <c r="E142" s="46" t="s">
        <v>344</v>
      </c>
      <c r="I142" t="s">
        <v>123</v>
      </c>
      <c r="J142" t="s">
        <v>124</v>
      </c>
    </row>
    <row r="143" spans="4:10" x14ac:dyDescent="0.3">
      <c r="D143" s="46" t="s">
        <v>345</v>
      </c>
      <c r="E143" s="46" t="s">
        <v>346</v>
      </c>
      <c r="I143" t="s">
        <v>125</v>
      </c>
      <c r="J143" t="s">
        <v>126</v>
      </c>
    </row>
    <row r="144" spans="4:10" x14ac:dyDescent="0.3">
      <c r="D144" s="46" t="s">
        <v>347</v>
      </c>
      <c r="E144" s="46" t="s">
        <v>348</v>
      </c>
      <c r="I144" t="s">
        <v>127</v>
      </c>
      <c r="J144" t="s">
        <v>128</v>
      </c>
    </row>
    <row r="145" spans="4:10" x14ac:dyDescent="0.3">
      <c r="D145" s="9" t="s">
        <v>152</v>
      </c>
      <c r="E145" s="9" t="s">
        <v>153</v>
      </c>
      <c r="I145" t="s">
        <v>129</v>
      </c>
      <c r="J145" t="s">
        <v>130</v>
      </c>
    </row>
    <row r="146" spans="4:10" x14ac:dyDescent="0.3">
      <c r="D146" s="9" t="s">
        <v>154</v>
      </c>
      <c r="E146" s="9" t="s">
        <v>155</v>
      </c>
      <c r="I146" t="s">
        <v>131</v>
      </c>
      <c r="J146" t="s">
        <v>132</v>
      </c>
    </row>
    <row r="147" spans="4:10" x14ac:dyDescent="0.3">
      <c r="D147" s="9" t="s">
        <v>156</v>
      </c>
      <c r="E147" s="9" t="s">
        <v>157</v>
      </c>
      <c r="I147" t="s">
        <v>133</v>
      </c>
      <c r="J147" t="s">
        <v>134</v>
      </c>
    </row>
    <row r="148" spans="4:10" x14ac:dyDescent="0.3">
      <c r="D148" s="9" t="s">
        <v>158</v>
      </c>
      <c r="E148" s="9" t="s">
        <v>159</v>
      </c>
      <c r="I148" t="s">
        <v>166</v>
      </c>
      <c r="J148" t="s">
        <v>165</v>
      </c>
    </row>
    <row r="149" spans="4:10" x14ac:dyDescent="0.3">
      <c r="D149" s="9" t="s">
        <v>160</v>
      </c>
      <c r="E149" s="9" t="s">
        <v>161</v>
      </c>
      <c r="I149" t="s">
        <v>201</v>
      </c>
      <c r="J149" t="s">
        <v>196</v>
      </c>
    </row>
    <row r="150" spans="4:10" x14ac:dyDescent="0.3">
      <c r="D150" s="9" t="s">
        <v>162</v>
      </c>
      <c r="E150" s="9" t="s">
        <v>163</v>
      </c>
      <c r="I150" t="s">
        <v>203</v>
      </c>
      <c r="J150" t="s">
        <v>202</v>
      </c>
    </row>
    <row r="151" spans="4:10" x14ac:dyDescent="0.3">
      <c r="I151" t="s">
        <v>168</v>
      </c>
      <c r="J151" t="s">
        <v>194</v>
      </c>
    </row>
    <row r="152" spans="4:10" x14ac:dyDescent="0.3">
      <c r="I152" t="s">
        <v>205</v>
      </c>
      <c r="J152" t="s">
        <v>204</v>
      </c>
    </row>
    <row r="153" spans="4:10" x14ac:dyDescent="0.3">
      <c r="I153" t="s">
        <v>207</v>
      </c>
      <c r="J153" t="s">
        <v>167</v>
      </c>
    </row>
    <row r="154" spans="4:10" x14ac:dyDescent="0.3">
      <c r="I154" t="s">
        <v>209</v>
      </c>
      <c r="J154" t="s">
        <v>548</v>
      </c>
    </row>
    <row r="155" spans="4:10" x14ac:dyDescent="0.3">
      <c r="I155" t="s">
        <v>211</v>
      </c>
      <c r="J155" t="s">
        <v>549</v>
      </c>
    </row>
    <row r="156" spans="4:10" x14ac:dyDescent="0.3">
      <c r="I156" t="s">
        <v>213</v>
      </c>
      <c r="J156" t="s">
        <v>550</v>
      </c>
    </row>
    <row r="157" spans="4:10" x14ac:dyDescent="0.3">
      <c r="I157" t="s">
        <v>215</v>
      </c>
      <c r="J157" t="s">
        <v>551</v>
      </c>
    </row>
    <row r="158" spans="4:10" x14ac:dyDescent="0.3">
      <c r="I158" t="s">
        <v>217</v>
      </c>
      <c r="J158" t="s">
        <v>552</v>
      </c>
    </row>
    <row r="159" spans="4:10" x14ac:dyDescent="0.3">
      <c r="I159" t="s">
        <v>219</v>
      </c>
      <c r="J159" t="s">
        <v>553</v>
      </c>
    </row>
    <row r="160" spans="4:10" x14ac:dyDescent="0.3">
      <c r="I160" t="s">
        <v>221</v>
      </c>
      <c r="J160" t="s">
        <v>554</v>
      </c>
    </row>
    <row r="161" spans="9:10" x14ac:dyDescent="0.3">
      <c r="I161" t="s">
        <v>223</v>
      </c>
      <c r="J161" t="s">
        <v>555</v>
      </c>
    </row>
    <row r="162" spans="9:10" x14ac:dyDescent="0.3">
      <c r="I162" t="s">
        <v>135</v>
      </c>
      <c r="J162" t="s">
        <v>70</v>
      </c>
    </row>
    <row r="163" spans="9:10" x14ac:dyDescent="0.3">
      <c r="I163" t="s">
        <v>225</v>
      </c>
      <c r="J163" t="s">
        <v>226</v>
      </c>
    </row>
    <row r="164" spans="9:10" x14ac:dyDescent="0.3">
      <c r="I164" t="s">
        <v>227</v>
      </c>
      <c r="J164" t="s">
        <v>228</v>
      </c>
    </row>
    <row r="165" spans="9:10" x14ac:dyDescent="0.3">
      <c r="I165" t="s">
        <v>229</v>
      </c>
      <c r="J165" t="s">
        <v>230</v>
      </c>
    </row>
    <row r="166" spans="9:10" x14ac:dyDescent="0.3">
      <c r="I166" t="s">
        <v>231</v>
      </c>
      <c r="J166" t="s">
        <v>232</v>
      </c>
    </row>
    <row r="167" spans="9:10" x14ac:dyDescent="0.3">
      <c r="I167" t="s">
        <v>233</v>
      </c>
      <c r="J167" t="s">
        <v>234</v>
      </c>
    </row>
    <row r="168" spans="9:10" x14ac:dyDescent="0.3">
      <c r="I168" t="s">
        <v>235</v>
      </c>
      <c r="J168" t="s">
        <v>236</v>
      </c>
    </row>
    <row r="169" spans="9:10" x14ac:dyDescent="0.3">
      <c r="I169" t="s">
        <v>237</v>
      </c>
      <c r="J169" t="s">
        <v>238</v>
      </c>
    </row>
    <row r="170" spans="9:10" x14ac:dyDescent="0.3">
      <c r="I170" t="s">
        <v>239</v>
      </c>
      <c r="J170" t="s">
        <v>240</v>
      </c>
    </row>
    <row r="171" spans="9:10" x14ac:dyDescent="0.3">
      <c r="I171" t="s">
        <v>241</v>
      </c>
      <c r="J171" t="s">
        <v>198</v>
      </c>
    </row>
    <row r="172" spans="9:10" x14ac:dyDescent="0.3">
      <c r="I172" t="s">
        <v>243</v>
      </c>
      <c r="J172" t="s">
        <v>242</v>
      </c>
    </row>
    <row r="173" spans="9:10" x14ac:dyDescent="0.3">
      <c r="I173" t="s">
        <v>556</v>
      </c>
      <c r="J173" t="s">
        <v>136</v>
      </c>
    </row>
    <row r="174" spans="9:10" x14ac:dyDescent="0.3">
      <c r="I174" t="s">
        <v>56</v>
      </c>
      <c r="J174" t="s">
        <v>210</v>
      </c>
    </row>
    <row r="175" spans="9:10" x14ac:dyDescent="0.3">
      <c r="I175" t="s">
        <v>138</v>
      </c>
      <c r="J175" t="s">
        <v>212</v>
      </c>
    </row>
    <row r="176" spans="9:10" x14ac:dyDescent="0.3">
      <c r="I176" t="s">
        <v>140</v>
      </c>
      <c r="J176" t="s">
        <v>214</v>
      </c>
    </row>
    <row r="177" spans="9:10" x14ac:dyDescent="0.3">
      <c r="I177" t="s">
        <v>142</v>
      </c>
      <c r="J177" t="s">
        <v>216</v>
      </c>
    </row>
    <row r="178" spans="9:10" x14ac:dyDescent="0.3">
      <c r="I178" t="s">
        <v>144</v>
      </c>
      <c r="J178" t="s">
        <v>218</v>
      </c>
    </row>
    <row r="179" spans="9:10" x14ac:dyDescent="0.3">
      <c r="I179" t="s">
        <v>146</v>
      </c>
      <c r="J179" t="s">
        <v>220</v>
      </c>
    </row>
    <row r="180" spans="9:10" x14ac:dyDescent="0.3">
      <c r="I180" t="s">
        <v>148</v>
      </c>
      <c r="J180" t="s">
        <v>222</v>
      </c>
    </row>
    <row r="181" spans="9:10" x14ac:dyDescent="0.3">
      <c r="I181" t="s">
        <v>150</v>
      </c>
      <c r="J181" t="s">
        <v>224</v>
      </c>
    </row>
    <row r="182" spans="9:10" x14ac:dyDescent="0.3">
      <c r="I182" t="s">
        <v>245</v>
      </c>
      <c r="J182" t="s">
        <v>176</v>
      </c>
    </row>
    <row r="183" spans="9:10" x14ac:dyDescent="0.3">
      <c r="I183" t="s">
        <v>247</v>
      </c>
      <c r="J183" t="s">
        <v>178</v>
      </c>
    </row>
    <row r="184" spans="9:10" x14ac:dyDescent="0.3">
      <c r="I184" t="s">
        <v>249</v>
      </c>
      <c r="J184" t="s">
        <v>180</v>
      </c>
    </row>
    <row r="185" spans="9:10" x14ac:dyDescent="0.3">
      <c r="I185" t="s">
        <v>251</v>
      </c>
      <c r="J185" t="s">
        <v>182</v>
      </c>
    </row>
    <row r="186" spans="9:10" x14ac:dyDescent="0.3">
      <c r="I186" t="s">
        <v>253</v>
      </c>
      <c r="J186" t="s">
        <v>184</v>
      </c>
    </row>
    <row r="187" spans="9:10" x14ac:dyDescent="0.3">
      <c r="I187" t="s">
        <v>255</v>
      </c>
      <c r="J187" t="s">
        <v>186</v>
      </c>
    </row>
    <row r="188" spans="9:10" x14ac:dyDescent="0.3">
      <c r="I188" t="s">
        <v>257</v>
      </c>
      <c r="J188" t="s">
        <v>188</v>
      </c>
    </row>
    <row r="189" spans="9:10" x14ac:dyDescent="0.3">
      <c r="I189" t="s">
        <v>259</v>
      </c>
      <c r="J189" t="s">
        <v>190</v>
      </c>
    </row>
    <row r="190" spans="9:10" x14ac:dyDescent="0.3">
      <c r="I190" t="s">
        <v>557</v>
      </c>
      <c r="J190" t="s">
        <v>558</v>
      </c>
    </row>
    <row r="191" spans="9:10" x14ac:dyDescent="0.3">
      <c r="I191" t="s">
        <v>559</v>
      </c>
      <c r="J191" t="s">
        <v>560</v>
      </c>
    </row>
    <row r="192" spans="9:10" x14ac:dyDescent="0.3">
      <c r="I192" t="s">
        <v>561</v>
      </c>
      <c r="J192" t="s">
        <v>562</v>
      </c>
    </row>
    <row r="193" spans="9:10" x14ac:dyDescent="0.3">
      <c r="I193" t="s">
        <v>563</v>
      </c>
      <c r="J193" t="s">
        <v>564</v>
      </c>
    </row>
    <row r="194" spans="9:10" x14ac:dyDescent="0.3">
      <c r="I194" t="s">
        <v>565</v>
      </c>
      <c r="J194" t="s">
        <v>566</v>
      </c>
    </row>
    <row r="195" spans="9:10" x14ac:dyDescent="0.3">
      <c r="I195" t="s">
        <v>567</v>
      </c>
      <c r="J195" t="s">
        <v>568</v>
      </c>
    </row>
    <row r="196" spans="9:10" x14ac:dyDescent="0.3">
      <c r="I196" t="s">
        <v>569</v>
      </c>
      <c r="J196" t="s">
        <v>570</v>
      </c>
    </row>
    <row r="197" spans="9:10" x14ac:dyDescent="0.3">
      <c r="I197" t="s">
        <v>571</v>
      </c>
      <c r="J197" t="s">
        <v>572</v>
      </c>
    </row>
    <row r="198" spans="9:10" x14ac:dyDescent="0.3">
      <c r="I198" t="s">
        <v>573</v>
      </c>
      <c r="J198" t="s">
        <v>574</v>
      </c>
    </row>
    <row r="199" spans="9:10" x14ac:dyDescent="0.3">
      <c r="I199" t="s">
        <v>575</v>
      </c>
      <c r="J199" t="s">
        <v>576</v>
      </c>
    </row>
    <row r="200" spans="9:10" x14ac:dyDescent="0.3">
      <c r="I200" t="s">
        <v>577</v>
      </c>
      <c r="J200" t="s">
        <v>578</v>
      </c>
    </row>
    <row r="201" spans="9:10" x14ac:dyDescent="0.3">
      <c r="I201" t="s">
        <v>579</v>
      </c>
      <c r="J201" t="s">
        <v>580</v>
      </c>
    </row>
    <row r="202" spans="9:10" x14ac:dyDescent="0.3">
      <c r="I202" t="s">
        <v>581</v>
      </c>
      <c r="J202" t="s">
        <v>582</v>
      </c>
    </row>
    <row r="203" spans="9:10" x14ac:dyDescent="0.3">
      <c r="I203" t="s">
        <v>583</v>
      </c>
      <c r="J203" t="s">
        <v>584</v>
      </c>
    </row>
    <row r="204" spans="9:10" x14ac:dyDescent="0.3">
      <c r="I204" t="s">
        <v>585</v>
      </c>
      <c r="J204" t="s">
        <v>586</v>
      </c>
    </row>
    <row r="205" spans="9:10" x14ac:dyDescent="0.3">
      <c r="I205" t="s">
        <v>587</v>
      </c>
      <c r="J205" t="s">
        <v>588</v>
      </c>
    </row>
    <row r="206" spans="9:10" x14ac:dyDescent="0.3">
      <c r="I206" t="s">
        <v>589</v>
      </c>
      <c r="J206" t="s">
        <v>246</v>
      </c>
    </row>
    <row r="207" spans="9:10" x14ac:dyDescent="0.3">
      <c r="I207" t="s">
        <v>590</v>
      </c>
      <c r="J207" t="s">
        <v>248</v>
      </c>
    </row>
    <row r="208" spans="9:10" x14ac:dyDescent="0.3">
      <c r="I208" t="s">
        <v>591</v>
      </c>
      <c r="J208" t="s">
        <v>250</v>
      </c>
    </row>
    <row r="209" spans="9:10" x14ac:dyDescent="0.3">
      <c r="I209" t="s">
        <v>592</v>
      </c>
      <c r="J209" t="s">
        <v>252</v>
      </c>
    </row>
    <row r="210" spans="9:10" x14ac:dyDescent="0.3">
      <c r="I210" t="s">
        <v>593</v>
      </c>
      <c r="J210" t="s">
        <v>254</v>
      </c>
    </row>
    <row r="211" spans="9:10" x14ac:dyDescent="0.3">
      <c r="I211" t="s">
        <v>594</v>
      </c>
      <c r="J211" t="s">
        <v>256</v>
      </c>
    </row>
    <row r="212" spans="9:10" x14ac:dyDescent="0.3">
      <c r="I212" t="s">
        <v>595</v>
      </c>
      <c r="J212" t="s">
        <v>258</v>
      </c>
    </row>
    <row r="213" spans="9:10" x14ac:dyDescent="0.3">
      <c r="I213" t="s">
        <v>596</v>
      </c>
      <c r="J213" t="s">
        <v>260</v>
      </c>
    </row>
    <row r="214" spans="9:10" x14ac:dyDescent="0.3">
      <c r="I214" t="s">
        <v>597</v>
      </c>
      <c r="J214" t="s">
        <v>598</v>
      </c>
    </row>
    <row r="215" spans="9:10" x14ac:dyDescent="0.3">
      <c r="I215" t="s">
        <v>599</v>
      </c>
      <c r="J215" t="s">
        <v>600</v>
      </c>
    </row>
    <row r="216" spans="9:10" x14ac:dyDescent="0.3">
      <c r="I216" t="s">
        <v>601</v>
      </c>
      <c r="J216" t="s">
        <v>602</v>
      </c>
    </row>
    <row r="217" spans="9:10" x14ac:dyDescent="0.3">
      <c r="I217" t="s">
        <v>603</v>
      </c>
      <c r="J217" t="s">
        <v>604</v>
      </c>
    </row>
    <row r="218" spans="9:10" x14ac:dyDescent="0.3">
      <c r="I218" t="s">
        <v>605</v>
      </c>
      <c r="J218" t="s">
        <v>606</v>
      </c>
    </row>
    <row r="219" spans="9:10" x14ac:dyDescent="0.3">
      <c r="I219" t="s">
        <v>607</v>
      </c>
      <c r="J219" t="s">
        <v>608</v>
      </c>
    </row>
    <row r="220" spans="9:10" x14ac:dyDescent="0.3">
      <c r="I220" t="s">
        <v>609</v>
      </c>
      <c r="J220" t="s">
        <v>610</v>
      </c>
    </row>
    <row r="221" spans="9:10" x14ac:dyDescent="0.3">
      <c r="I221" t="s">
        <v>611</v>
      </c>
      <c r="J221" t="s">
        <v>612</v>
      </c>
    </row>
    <row r="222" spans="9:10" x14ac:dyDescent="0.3">
      <c r="I222" t="s">
        <v>613</v>
      </c>
      <c r="J222" t="s">
        <v>614</v>
      </c>
    </row>
    <row r="223" spans="9:10" x14ac:dyDescent="0.3">
      <c r="I223" t="s">
        <v>615</v>
      </c>
      <c r="J223" t="s">
        <v>616</v>
      </c>
    </row>
    <row r="224" spans="9:10" x14ac:dyDescent="0.3">
      <c r="I224" t="s">
        <v>617</v>
      </c>
      <c r="J224" t="s">
        <v>618</v>
      </c>
    </row>
    <row r="225" spans="9:10" x14ac:dyDescent="0.3">
      <c r="I225" t="s">
        <v>619</v>
      </c>
      <c r="J225" t="s">
        <v>620</v>
      </c>
    </row>
    <row r="226" spans="9:10" x14ac:dyDescent="0.3">
      <c r="I226" t="s">
        <v>621</v>
      </c>
      <c r="J226" t="s">
        <v>622</v>
      </c>
    </row>
    <row r="227" spans="9:10" x14ac:dyDescent="0.3">
      <c r="I227" t="s">
        <v>623</v>
      </c>
      <c r="J227" t="s">
        <v>624</v>
      </c>
    </row>
    <row r="228" spans="9:10" x14ac:dyDescent="0.3">
      <c r="I228" t="s">
        <v>625</v>
      </c>
      <c r="J228" t="s">
        <v>626</v>
      </c>
    </row>
    <row r="229" spans="9:10" x14ac:dyDescent="0.3">
      <c r="I229" t="s">
        <v>627</v>
      </c>
      <c r="J229" t="s">
        <v>628</v>
      </c>
    </row>
    <row r="230" spans="9:10" x14ac:dyDescent="0.3">
      <c r="I230" t="s">
        <v>629</v>
      </c>
      <c r="J230" t="s">
        <v>630</v>
      </c>
    </row>
    <row r="231" spans="9:10" x14ac:dyDescent="0.3">
      <c r="I231" t="s">
        <v>631</v>
      </c>
      <c r="J231" t="s">
        <v>632</v>
      </c>
    </row>
    <row r="232" spans="9:10" x14ac:dyDescent="0.3">
      <c r="I232" t="s">
        <v>633</v>
      </c>
      <c r="J232" t="s">
        <v>634</v>
      </c>
    </row>
    <row r="233" spans="9:10" x14ac:dyDescent="0.3">
      <c r="I233" t="s">
        <v>635</v>
      </c>
      <c r="J233" t="s">
        <v>636</v>
      </c>
    </row>
    <row r="234" spans="9:10" x14ac:dyDescent="0.3">
      <c r="I234" t="s">
        <v>637</v>
      </c>
      <c r="J234" t="s">
        <v>638</v>
      </c>
    </row>
    <row r="235" spans="9:10" x14ac:dyDescent="0.3">
      <c r="I235" t="s">
        <v>639</v>
      </c>
      <c r="J235" t="s">
        <v>640</v>
      </c>
    </row>
    <row r="236" spans="9:10" x14ac:dyDescent="0.3">
      <c r="I236" t="s">
        <v>641</v>
      </c>
      <c r="J236" t="s">
        <v>642</v>
      </c>
    </row>
    <row r="237" spans="9:10" x14ac:dyDescent="0.3">
      <c r="I237" t="s">
        <v>643</v>
      </c>
      <c r="J237" t="s">
        <v>644</v>
      </c>
    </row>
    <row r="238" spans="9:10" x14ac:dyDescent="0.3">
      <c r="I238" t="s">
        <v>645</v>
      </c>
      <c r="J238" t="s">
        <v>646</v>
      </c>
    </row>
    <row r="239" spans="9:10" x14ac:dyDescent="0.3">
      <c r="I239" t="s">
        <v>647</v>
      </c>
      <c r="J239" t="s">
        <v>648</v>
      </c>
    </row>
    <row r="240" spans="9:10" x14ac:dyDescent="0.3">
      <c r="I240" t="s">
        <v>649</v>
      </c>
      <c r="J240" t="s">
        <v>650</v>
      </c>
    </row>
    <row r="241" spans="9:10" x14ac:dyDescent="0.3">
      <c r="I241" t="s">
        <v>651</v>
      </c>
      <c r="J241" t="s">
        <v>652</v>
      </c>
    </row>
    <row r="242" spans="9:10" x14ac:dyDescent="0.3">
      <c r="I242" t="s">
        <v>653</v>
      </c>
      <c r="J242" t="s">
        <v>654</v>
      </c>
    </row>
    <row r="243" spans="9:10" x14ac:dyDescent="0.3">
      <c r="I243" t="s">
        <v>655</v>
      </c>
      <c r="J243" t="s">
        <v>656</v>
      </c>
    </row>
    <row r="244" spans="9:10" x14ac:dyDescent="0.3">
      <c r="I244" t="s">
        <v>657</v>
      </c>
      <c r="J244" t="s">
        <v>658</v>
      </c>
    </row>
    <row r="245" spans="9:10" x14ac:dyDescent="0.3">
      <c r="I245" t="s">
        <v>659</v>
      </c>
      <c r="J245" t="s">
        <v>660</v>
      </c>
    </row>
    <row r="246" spans="9:10" x14ac:dyDescent="0.3">
      <c r="I246" t="s">
        <v>661</v>
      </c>
      <c r="J246" t="s">
        <v>662</v>
      </c>
    </row>
    <row r="247" spans="9:10" x14ac:dyDescent="0.3">
      <c r="I247" t="s">
        <v>663</v>
      </c>
      <c r="J247" t="s">
        <v>664</v>
      </c>
    </row>
    <row r="248" spans="9:10" x14ac:dyDescent="0.3">
      <c r="I248" t="s">
        <v>665</v>
      </c>
      <c r="J248" t="s">
        <v>666</v>
      </c>
    </row>
    <row r="249" spans="9:10" x14ac:dyDescent="0.3">
      <c r="I249" t="s">
        <v>667</v>
      </c>
      <c r="J249" t="s">
        <v>668</v>
      </c>
    </row>
    <row r="250" spans="9:10" x14ac:dyDescent="0.3">
      <c r="I250" t="s">
        <v>669</v>
      </c>
      <c r="J250" t="s">
        <v>670</v>
      </c>
    </row>
    <row r="251" spans="9:10" x14ac:dyDescent="0.3">
      <c r="I251" t="s">
        <v>671</v>
      </c>
      <c r="J251" t="s">
        <v>672</v>
      </c>
    </row>
    <row r="252" spans="9:10" x14ac:dyDescent="0.3">
      <c r="I252" t="s">
        <v>673</v>
      </c>
      <c r="J252" t="s">
        <v>674</v>
      </c>
    </row>
    <row r="253" spans="9:10" x14ac:dyDescent="0.3">
      <c r="I253" t="s">
        <v>675</v>
      </c>
      <c r="J253" t="s">
        <v>676</v>
      </c>
    </row>
    <row r="254" spans="9:10" x14ac:dyDescent="0.3">
      <c r="I254" t="s">
        <v>677</v>
      </c>
      <c r="J254" t="s">
        <v>678</v>
      </c>
    </row>
    <row r="255" spans="9:10" x14ac:dyDescent="0.3">
      <c r="I255" t="s">
        <v>679</v>
      </c>
      <c r="J255" t="s">
        <v>680</v>
      </c>
    </row>
    <row r="256" spans="9:10" x14ac:dyDescent="0.3">
      <c r="I256" t="s">
        <v>681</v>
      </c>
      <c r="J256" t="s">
        <v>682</v>
      </c>
    </row>
    <row r="257" spans="9:10" x14ac:dyDescent="0.3">
      <c r="I257" t="s">
        <v>683</v>
      </c>
      <c r="J257" t="s">
        <v>684</v>
      </c>
    </row>
    <row r="258" spans="9:10" x14ac:dyDescent="0.3">
      <c r="I258" t="s">
        <v>685</v>
      </c>
      <c r="J258" t="s">
        <v>686</v>
      </c>
    </row>
    <row r="259" spans="9:10" x14ac:dyDescent="0.3">
      <c r="I259" t="s">
        <v>687</v>
      </c>
      <c r="J259" t="s">
        <v>688</v>
      </c>
    </row>
    <row r="260" spans="9:10" x14ac:dyDescent="0.3">
      <c r="I260" t="s">
        <v>689</v>
      </c>
      <c r="J260" t="s">
        <v>690</v>
      </c>
    </row>
    <row r="261" spans="9:10" x14ac:dyDescent="0.3">
      <c r="I261" t="s">
        <v>691</v>
      </c>
      <c r="J261" t="s">
        <v>692</v>
      </c>
    </row>
    <row r="262" spans="9:10" x14ac:dyDescent="0.3">
      <c r="I262" t="s">
        <v>693</v>
      </c>
      <c r="J262" t="s">
        <v>694</v>
      </c>
    </row>
    <row r="263" spans="9:10" x14ac:dyDescent="0.3">
      <c r="I263" t="s">
        <v>695</v>
      </c>
      <c r="J263" t="s">
        <v>696</v>
      </c>
    </row>
    <row r="264" spans="9:10" x14ac:dyDescent="0.3">
      <c r="I264" t="s">
        <v>697</v>
      </c>
      <c r="J264" t="s">
        <v>698</v>
      </c>
    </row>
    <row r="265" spans="9:10" x14ac:dyDescent="0.3">
      <c r="I265" t="s">
        <v>699</v>
      </c>
      <c r="J265" t="s">
        <v>700</v>
      </c>
    </row>
    <row r="266" spans="9:10" x14ac:dyDescent="0.3">
      <c r="I266" t="s">
        <v>701</v>
      </c>
      <c r="J266" t="s">
        <v>702</v>
      </c>
    </row>
    <row r="267" spans="9:10" x14ac:dyDescent="0.3">
      <c r="I267" t="s">
        <v>703</v>
      </c>
      <c r="J267" t="s">
        <v>704</v>
      </c>
    </row>
    <row r="268" spans="9:10" x14ac:dyDescent="0.3">
      <c r="I268" t="s">
        <v>705</v>
      </c>
      <c r="J268" t="s">
        <v>706</v>
      </c>
    </row>
    <row r="269" spans="9:10" x14ac:dyDescent="0.3">
      <c r="I269" t="s">
        <v>707</v>
      </c>
      <c r="J269" t="s">
        <v>708</v>
      </c>
    </row>
    <row r="270" spans="9:10" x14ac:dyDescent="0.3">
      <c r="I270" t="s">
        <v>709</v>
      </c>
      <c r="J270" t="s">
        <v>710</v>
      </c>
    </row>
    <row r="271" spans="9:10" x14ac:dyDescent="0.3">
      <c r="I271" t="s">
        <v>711</v>
      </c>
      <c r="J271" t="s">
        <v>712</v>
      </c>
    </row>
    <row r="272" spans="9:10" x14ac:dyDescent="0.3">
      <c r="I272" t="s">
        <v>713</v>
      </c>
      <c r="J272" t="s">
        <v>714</v>
      </c>
    </row>
    <row r="273" spans="9:10" x14ac:dyDescent="0.3">
      <c r="I273" t="s">
        <v>715</v>
      </c>
      <c r="J273" t="s">
        <v>716</v>
      </c>
    </row>
    <row r="274" spans="9:10" x14ac:dyDescent="0.3">
      <c r="I274" t="s">
        <v>717</v>
      </c>
      <c r="J274" t="s">
        <v>718</v>
      </c>
    </row>
    <row r="275" spans="9:10" x14ac:dyDescent="0.3">
      <c r="I275" t="s">
        <v>719</v>
      </c>
      <c r="J275" t="s">
        <v>720</v>
      </c>
    </row>
    <row r="276" spans="9:10" x14ac:dyDescent="0.3">
      <c r="I276" t="s">
        <v>721</v>
      </c>
      <c r="J276" t="s">
        <v>722</v>
      </c>
    </row>
    <row r="277" spans="9:10" x14ac:dyDescent="0.3">
      <c r="I277" t="s">
        <v>723</v>
      </c>
      <c r="J277" t="s">
        <v>724</v>
      </c>
    </row>
    <row r="278" spans="9:10" x14ac:dyDescent="0.3">
      <c r="I278" t="s">
        <v>725</v>
      </c>
      <c r="J278" t="s">
        <v>726</v>
      </c>
    </row>
    <row r="279" spans="9:10" x14ac:dyDescent="0.3">
      <c r="I279" t="s">
        <v>727</v>
      </c>
      <c r="J279" t="s">
        <v>728</v>
      </c>
    </row>
    <row r="280" spans="9:10" x14ac:dyDescent="0.3">
      <c r="I280" t="s">
        <v>729</v>
      </c>
      <c r="J280" t="s">
        <v>730</v>
      </c>
    </row>
    <row r="281" spans="9:10" x14ac:dyDescent="0.3">
      <c r="I281" t="s">
        <v>731</v>
      </c>
      <c r="J281" t="s">
        <v>732</v>
      </c>
    </row>
    <row r="282" spans="9:10" x14ac:dyDescent="0.3">
      <c r="I282" t="s">
        <v>733</v>
      </c>
      <c r="J282" t="s">
        <v>734</v>
      </c>
    </row>
    <row r="283" spans="9:10" x14ac:dyDescent="0.3">
      <c r="I283" t="s">
        <v>735</v>
      </c>
      <c r="J283" t="s">
        <v>736</v>
      </c>
    </row>
    <row r="284" spans="9:10" x14ac:dyDescent="0.3">
      <c r="I284" t="s">
        <v>737</v>
      </c>
      <c r="J284" t="s">
        <v>738</v>
      </c>
    </row>
    <row r="285" spans="9:10" x14ac:dyDescent="0.3">
      <c r="I285" t="s">
        <v>739</v>
      </c>
      <c r="J285" t="s">
        <v>740</v>
      </c>
    </row>
    <row r="286" spans="9:10" x14ac:dyDescent="0.3">
      <c r="I286" t="s">
        <v>261</v>
      </c>
      <c r="J286" t="s">
        <v>244</v>
      </c>
    </row>
    <row r="287" spans="9:10" x14ac:dyDescent="0.3">
      <c r="I287" t="s">
        <v>170</v>
      </c>
      <c r="J287" t="s">
        <v>741</v>
      </c>
    </row>
    <row r="288" spans="9:10" x14ac:dyDescent="0.3">
      <c r="I288" t="s">
        <v>263</v>
      </c>
      <c r="J288" t="s">
        <v>742</v>
      </c>
    </row>
    <row r="289" spans="9:10" x14ac:dyDescent="0.3">
      <c r="I289" t="s">
        <v>265</v>
      </c>
      <c r="J289" t="s">
        <v>743</v>
      </c>
    </row>
    <row r="290" spans="9:10" x14ac:dyDescent="0.3">
      <c r="I290" t="s">
        <v>267</v>
      </c>
      <c r="J290" t="s">
        <v>744</v>
      </c>
    </row>
    <row r="291" spans="9:10" x14ac:dyDescent="0.3">
      <c r="I291" t="s">
        <v>269</v>
      </c>
      <c r="J291" t="s">
        <v>745</v>
      </c>
    </row>
    <row r="292" spans="9:10" x14ac:dyDescent="0.3">
      <c r="I292" t="s">
        <v>271</v>
      </c>
      <c r="J292" t="s">
        <v>102</v>
      </c>
    </row>
    <row r="293" spans="9:10" x14ac:dyDescent="0.3">
      <c r="I293" t="s">
        <v>273</v>
      </c>
      <c r="J293" t="s">
        <v>746</v>
      </c>
    </row>
    <row r="294" spans="9:10" x14ac:dyDescent="0.3">
      <c r="I294" t="s">
        <v>275</v>
      </c>
      <c r="J294" t="s">
        <v>747</v>
      </c>
    </row>
    <row r="295" spans="9:10" x14ac:dyDescent="0.3">
      <c r="I295" t="s">
        <v>277</v>
      </c>
      <c r="J295" t="s">
        <v>748</v>
      </c>
    </row>
    <row r="296" spans="9:10" x14ac:dyDescent="0.3">
      <c r="I296" t="s">
        <v>279</v>
      </c>
      <c r="J296" t="s">
        <v>749</v>
      </c>
    </row>
    <row r="297" spans="9:10" x14ac:dyDescent="0.3">
      <c r="I297" t="s">
        <v>281</v>
      </c>
      <c r="J297" t="s">
        <v>300</v>
      </c>
    </row>
    <row r="298" spans="9:10" x14ac:dyDescent="0.3">
      <c r="I298" t="s">
        <v>283</v>
      </c>
      <c r="J298" t="s">
        <v>302</v>
      </c>
    </row>
    <row r="299" spans="9:10" x14ac:dyDescent="0.3">
      <c r="I299" t="s">
        <v>285</v>
      </c>
      <c r="J299" t="s">
        <v>304</v>
      </c>
    </row>
    <row r="300" spans="9:10" x14ac:dyDescent="0.3">
      <c r="I300" t="s">
        <v>287</v>
      </c>
      <c r="J300" t="s">
        <v>306</v>
      </c>
    </row>
    <row r="301" spans="9:10" x14ac:dyDescent="0.3">
      <c r="I301" t="s">
        <v>289</v>
      </c>
      <c r="J301" t="s">
        <v>308</v>
      </c>
    </row>
    <row r="302" spans="9:10" x14ac:dyDescent="0.3">
      <c r="I302" t="s">
        <v>291</v>
      </c>
      <c r="J302" t="s">
        <v>310</v>
      </c>
    </row>
    <row r="303" spans="9:10" x14ac:dyDescent="0.3">
      <c r="I303" t="s">
        <v>293</v>
      </c>
      <c r="J303" t="s">
        <v>312</v>
      </c>
    </row>
    <row r="304" spans="9:10" x14ac:dyDescent="0.3">
      <c r="I304" t="s">
        <v>295</v>
      </c>
      <c r="J304" t="s">
        <v>314</v>
      </c>
    </row>
    <row r="305" spans="9:10" x14ac:dyDescent="0.3">
      <c r="I305" t="s">
        <v>297</v>
      </c>
      <c r="J305" t="s">
        <v>264</v>
      </c>
    </row>
    <row r="306" spans="9:10" x14ac:dyDescent="0.3">
      <c r="I306" t="s">
        <v>299</v>
      </c>
      <c r="J306" t="s">
        <v>266</v>
      </c>
    </row>
    <row r="307" spans="9:10" x14ac:dyDescent="0.3">
      <c r="I307" t="s">
        <v>301</v>
      </c>
      <c r="J307" t="s">
        <v>268</v>
      </c>
    </row>
    <row r="308" spans="9:10" x14ac:dyDescent="0.3">
      <c r="I308" t="s">
        <v>303</v>
      </c>
      <c r="J308" t="s">
        <v>270</v>
      </c>
    </row>
    <row r="309" spans="9:10" x14ac:dyDescent="0.3">
      <c r="I309" t="s">
        <v>305</v>
      </c>
      <c r="J309" t="s">
        <v>272</v>
      </c>
    </row>
    <row r="310" spans="9:10" x14ac:dyDescent="0.3">
      <c r="I310" t="s">
        <v>307</v>
      </c>
      <c r="J310" t="s">
        <v>274</v>
      </c>
    </row>
    <row r="311" spans="9:10" x14ac:dyDescent="0.3">
      <c r="I311" t="s">
        <v>309</v>
      </c>
      <c r="J311" t="s">
        <v>276</v>
      </c>
    </row>
    <row r="312" spans="9:10" x14ac:dyDescent="0.3">
      <c r="I312" t="s">
        <v>311</v>
      </c>
      <c r="J312" t="s">
        <v>278</v>
      </c>
    </row>
    <row r="313" spans="9:10" x14ac:dyDescent="0.3">
      <c r="I313" t="s">
        <v>313</v>
      </c>
      <c r="J313" t="s">
        <v>280</v>
      </c>
    </row>
    <row r="314" spans="9:10" x14ac:dyDescent="0.3">
      <c r="I314" t="s">
        <v>315</v>
      </c>
      <c r="J314" t="s">
        <v>192</v>
      </c>
    </row>
    <row r="315" spans="9:10" x14ac:dyDescent="0.3">
      <c r="I315" t="s">
        <v>317</v>
      </c>
      <c r="J315" t="s">
        <v>298</v>
      </c>
    </row>
    <row r="316" spans="9:10" x14ac:dyDescent="0.3">
      <c r="I316" t="s">
        <v>750</v>
      </c>
      <c r="J316" t="s">
        <v>751</v>
      </c>
    </row>
    <row r="317" spans="9:10" x14ac:dyDescent="0.3">
      <c r="I317" t="s">
        <v>752</v>
      </c>
      <c r="J317" t="s">
        <v>753</v>
      </c>
    </row>
    <row r="318" spans="9:10" x14ac:dyDescent="0.3">
      <c r="I318" t="s">
        <v>754</v>
      </c>
      <c r="J318" t="s">
        <v>755</v>
      </c>
    </row>
    <row r="319" spans="9:10" x14ac:dyDescent="0.3">
      <c r="I319" t="s">
        <v>756</v>
      </c>
      <c r="J319" t="s">
        <v>757</v>
      </c>
    </row>
    <row r="320" spans="9:10" x14ac:dyDescent="0.3">
      <c r="I320" t="s">
        <v>758</v>
      </c>
      <c r="J320" t="s">
        <v>759</v>
      </c>
    </row>
    <row r="321" spans="9:10" x14ac:dyDescent="0.3">
      <c r="I321" t="s">
        <v>760</v>
      </c>
      <c r="J321" t="s">
        <v>761</v>
      </c>
    </row>
    <row r="322" spans="9:10" x14ac:dyDescent="0.3">
      <c r="I322" t="s">
        <v>762</v>
      </c>
      <c r="J322" t="s">
        <v>763</v>
      </c>
    </row>
    <row r="323" spans="9:10" x14ac:dyDescent="0.3">
      <c r="I323" t="s">
        <v>764</v>
      </c>
      <c r="J323" t="s">
        <v>765</v>
      </c>
    </row>
    <row r="324" spans="9:10" x14ac:dyDescent="0.3">
      <c r="I324" t="s">
        <v>766</v>
      </c>
      <c r="J324" t="s">
        <v>767</v>
      </c>
    </row>
    <row r="325" spans="9:10" x14ac:dyDescent="0.3">
      <c r="I325" t="s">
        <v>768</v>
      </c>
      <c r="J325" t="s">
        <v>769</v>
      </c>
    </row>
    <row r="326" spans="9:10" x14ac:dyDescent="0.3">
      <c r="I326" t="s">
        <v>770</v>
      </c>
      <c r="J326" t="s">
        <v>771</v>
      </c>
    </row>
    <row r="327" spans="9:10" x14ac:dyDescent="0.3">
      <c r="I327" t="s">
        <v>772</v>
      </c>
      <c r="J327" t="s">
        <v>773</v>
      </c>
    </row>
    <row r="328" spans="9:10" x14ac:dyDescent="0.3">
      <c r="I328" t="s">
        <v>774</v>
      </c>
      <c r="J328" t="s">
        <v>775</v>
      </c>
    </row>
    <row r="329" spans="9:10" x14ac:dyDescent="0.3">
      <c r="I329" t="s">
        <v>776</v>
      </c>
      <c r="J329" t="s">
        <v>777</v>
      </c>
    </row>
    <row r="330" spans="9:10" x14ac:dyDescent="0.3">
      <c r="I330" t="s">
        <v>778</v>
      </c>
      <c r="J330" t="s">
        <v>777</v>
      </c>
    </row>
    <row r="331" spans="9:10" x14ac:dyDescent="0.3">
      <c r="I331" t="s">
        <v>779</v>
      </c>
      <c r="J331" t="s">
        <v>780</v>
      </c>
    </row>
    <row r="332" spans="9:10" x14ac:dyDescent="0.3">
      <c r="I332" t="s">
        <v>781</v>
      </c>
      <c r="J332" t="s">
        <v>782</v>
      </c>
    </row>
    <row r="333" spans="9:10" x14ac:dyDescent="0.3">
      <c r="I333" t="s">
        <v>783</v>
      </c>
      <c r="J333" t="s">
        <v>784</v>
      </c>
    </row>
    <row r="334" spans="9:10" x14ac:dyDescent="0.3">
      <c r="I334" t="s">
        <v>785</v>
      </c>
      <c r="J334" t="s">
        <v>786</v>
      </c>
    </row>
    <row r="335" spans="9:10" x14ac:dyDescent="0.3">
      <c r="I335" t="s">
        <v>787</v>
      </c>
      <c r="J335" t="s">
        <v>788</v>
      </c>
    </row>
    <row r="336" spans="9:10" x14ac:dyDescent="0.3">
      <c r="I336" t="s">
        <v>789</v>
      </c>
      <c r="J336" t="s">
        <v>790</v>
      </c>
    </row>
    <row r="337" spans="9:10" x14ac:dyDescent="0.3">
      <c r="I337" t="s">
        <v>791</v>
      </c>
      <c r="J337" t="s">
        <v>792</v>
      </c>
    </row>
    <row r="338" spans="9:10" x14ac:dyDescent="0.3">
      <c r="I338" t="s">
        <v>793</v>
      </c>
      <c r="J338" t="s">
        <v>794</v>
      </c>
    </row>
    <row r="339" spans="9:10" x14ac:dyDescent="0.3">
      <c r="I339" t="s">
        <v>795</v>
      </c>
      <c r="J339" t="s">
        <v>796</v>
      </c>
    </row>
    <row r="340" spans="9:10" x14ac:dyDescent="0.3">
      <c r="I340" t="s">
        <v>797</v>
      </c>
      <c r="J340" t="s">
        <v>798</v>
      </c>
    </row>
    <row r="341" spans="9:10" x14ac:dyDescent="0.3">
      <c r="I341" t="s">
        <v>799</v>
      </c>
      <c r="J341" t="s">
        <v>800</v>
      </c>
    </row>
    <row r="342" spans="9:10" x14ac:dyDescent="0.3">
      <c r="I342" t="s">
        <v>801</v>
      </c>
      <c r="J342" t="s">
        <v>802</v>
      </c>
    </row>
    <row r="343" spans="9:10" x14ac:dyDescent="0.3">
      <c r="I343" t="s">
        <v>803</v>
      </c>
      <c r="J343" t="s">
        <v>804</v>
      </c>
    </row>
    <row r="344" spans="9:10" x14ac:dyDescent="0.3">
      <c r="I344" t="s">
        <v>805</v>
      </c>
      <c r="J344" t="s">
        <v>806</v>
      </c>
    </row>
    <row r="345" spans="9:10" x14ac:dyDescent="0.3">
      <c r="I345" t="s">
        <v>807</v>
      </c>
      <c r="J345" t="s">
        <v>808</v>
      </c>
    </row>
    <row r="346" spans="9:10" x14ac:dyDescent="0.3">
      <c r="I346" t="s">
        <v>809</v>
      </c>
      <c r="J346" t="s">
        <v>810</v>
      </c>
    </row>
    <row r="347" spans="9:10" x14ac:dyDescent="0.3">
      <c r="I347" t="s">
        <v>811</v>
      </c>
      <c r="J347" t="s">
        <v>812</v>
      </c>
    </row>
    <row r="348" spans="9:10" x14ac:dyDescent="0.3">
      <c r="I348" t="s">
        <v>813</v>
      </c>
      <c r="J348" t="s">
        <v>814</v>
      </c>
    </row>
    <row r="349" spans="9:10" x14ac:dyDescent="0.3">
      <c r="I349" t="s">
        <v>815</v>
      </c>
      <c r="J349" t="s">
        <v>816</v>
      </c>
    </row>
    <row r="350" spans="9:10" x14ac:dyDescent="0.3">
      <c r="I350" t="s">
        <v>817</v>
      </c>
      <c r="J350" t="s">
        <v>818</v>
      </c>
    </row>
    <row r="351" spans="9:10" x14ac:dyDescent="0.3">
      <c r="I351" t="s">
        <v>819</v>
      </c>
      <c r="J351" t="s">
        <v>820</v>
      </c>
    </row>
    <row r="352" spans="9:10" x14ac:dyDescent="0.3">
      <c r="I352" t="s">
        <v>821</v>
      </c>
      <c r="J352" t="s">
        <v>822</v>
      </c>
    </row>
    <row r="353" spans="9:10" x14ac:dyDescent="0.3">
      <c r="I353" t="s">
        <v>823</v>
      </c>
      <c r="J353" t="s">
        <v>824</v>
      </c>
    </row>
    <row r="354" spans="9:10" x14ac:dyDescent="0.3">
      <c r="I354" t="s">
        <v>825</v>
      </c>
      <c r="J354" t="s">
        <v>826</v>
      </c>
    </row>
    <row r="355" spans="9:10" x14ac:dyDescent="0.3">
      <c r="I355" t="s">
        <v>827</v>
      </c>
      <c r="J355" t="s">
        <v>828</v>
      </c>
    </row>
    <row r="356" spans="9:10" x14ac:dyDescent="0.3">
      <c r="I356" t="s">
        <v>829</v>
      </c>
      <c r="J356" t="s">
        <v>830</v>
      </c>
    </row>
    <row r="357" spans="9:10" x14ac:dyDescent="0.3">
      <c r="I357" t="s">
        <v>831</v>
      </c>
      <c r="J357" t="s">
        <v>832</v>
      </c>
    </row>
    <row r="358" spans="9:10" x14ac:dyDescent="0.3">
      <c r="I358" t="s">
        <v>833</v>
      </c>
      <c r="J358" t="s">
        <v>834</v>
      </c>
    </row>
    <row r="359" spans="9:10" x14ac:dyDescent="0.3">
      <c r="I359" t="s">
        <v>835</v>
      </c>
      <c r="J359" t="s">
        <v>836</v>
      </c>
    </row>
    <row r="360" spans="9:10" x14ac:dyDescent="0.3">
      <c r="I360" t="s">
        <v>837</v>
      </c>
      <c r="J360" t="s">
        <v>838</v>
      </c>
    </row>
    <row r="361" spans="9:10" x14ac:dyDescent="0.3">
      <c r="I361" t="s">
        <v>839</v>
      </c>
      <c r="J361" t="s">
        <v>840</v>
      </c>
    </row>
    <row r="362" spans="9:10" x14ac:dyDescent="0.3">
      <c r="I362" t="s">
        <v>841</v>
      </c>
      <c r="J362" t="s">
        <v>842</v>
      </c>
    </row>
    <row r="363" spans="9:10" x14ac:dyDescent="0.3">
      <c r="I363" t="s">
        <v>843</v>
      </c>
      <c r="J363" t="s">
        <v>844</v>
      </c>
    </row>
    <row r="364" spans="9:10" x14ac:dyDescent="0.3">
      <c r="I364" t="s">
        <v>845</v>
      </c>
      <c r="J364" t="s">
        <v>846</v>
      </c>
    </row>
    <row r="365" spans="9:10" x14ac:dyDescent="0.3">
      <c r="I365" t="s">
        <v>847</v>
      </c>
      <c r="J365" t="s">
        <v>848</v>
      </c>
    </row>
    <row r="366" spans="9:10" x14ac:dyDescent="0.3">
      <c r="I366" t="s">
        <v>849</v>
      </c>
      <c r="J366" t="s">
        <v>850</v>
      </c>
    </row>
    <row r="367" spans="9:10" x14ac:dyDescent="0.3">
      <c r="I367" t="s">
        <v>851</v>
      </c>
      <c r="J367" t="s">
        <v>852</v>
      </c>
    </row>
    <row r="368" spans="9:10" x14ac:dyDescent="0.3">
      <c r="I368" t="s">
        <v>853</v>
      </c>
      <c r="J368" t="s">
        <v>854</v>
      </c>
    </row>
    <row r="369" spans="9:10" x14ac:dyDescent="0.3">
      <c r="I369" t="s">
        <v>855</v>
      </c>
      <c r="J369" t="s">
        <v>856</v>
      </c>
    </row>
    <row r="370" spans="9:10" x14ac:dyDescent="0.3">
      <c r="I370" t="s">
        <v>857</v>
      </c>
      <c r="J370" t="s">
        <v>858</v>
      </c>
    </row>
    <row r="371" spans="9:10" x14ac:dyDescent="0.3">
      <c r="I371" t="s">
        <v>859</v>
      </c>
      <c r="J371" t="s">
        <v>860</v>
      </c>
    </row>
    <row r="372" spans="9:10" x14ac:dyDescent="0.3">
      <c r="I372" t="s">
        <v>861</v>
      </c>
      <c r="J372" t="s">
        <v>862</v>
      </c>
    </row>
    <row r="373" spans="9:10" x14ac:dyDescent="0.3">
      <c r="I373" t="s">
        <v>863</v>
      </c>
      <c r="J373" t="s">
        <v>864</v>
      </c>
    </row>
    <row r="374" spans="9:10" x14ac:dyDescent="0.3">
      <c r="I374" t="s">
        <v>865</v>
      </c>
      <c r="J374" t="s">
        <v>866</v>
      </c>
    </row>
    <row r="375" spans="9:10" x14ac:dyDescent="0.3">
      <c r="I375" t="s">
        <v>867</v>
      </c>
      <c r="J375" t="s">
        <v>868</v>
      </c>
    </row>
    <row r="376" spans="9:10" x14ac:dyDescent="0.3">
      <c r="I376" t="s">
        <v>869</v>
      </c>
      <c r="J376" t="s">
        <v>870</v>
      </c>
    </row>
    <row r="377" spans="9:10" x14ac:dyDescent="0.3">
      <c r="I377" t="s">
        <v>871</v>
      </c>
      <c r="J377" t="s">
        <v>872</v>
      </c>
    </row>
    <row r="378" spans="9:10" x14ac:dyDescent="0.3">
      <c r="I378" t="s">
        <v>873</v>
      </c>
      <c r="J378" t="s">
        <v>874</v>
      </c>
    </row>
    <row r="379" spans="9:10" x14ac:dyDescent="0.3">
      <c r="I379" t="s">
        <v>875</v>
      </c>
      <c r="J379" t="s">
        <v>876</v>
      </c>
    </row>
    <row r="380" spans="9:10" x14ac:dyDescent="0.3">
      <c r="I380" t="s">
        <v>877</v>
      </c>
      <c r="J380" t="s">
        <v>878</v>
      </c>
    </row>
    <row r="381" spans="9:10" x14ac:dyDescent="0.3">
      <c r="I381" t="s">
        <v>879</v>
      </c>
      <c r="J381" t="s">
        <v>880</v>
      </c>
    </row>
    <row r="382" spans="9:10" x14ac:dyDescent="0.3">
      <c r="I382" t="s">
        <v>881</v>
      </c>
      <c r="J382" t="s">
        <v>882</v>
      </c>
    </row>
    <row r="383" spans="9:10" x14ac:dyDescent="0.3">
      <c r="I383" t="s">
        <v>883</v>
      </c>
      <c r="J383" t="s">
        <v>884</v>
      </c>
    </row>
    <row r="384" spans="9:10" x14ac:dyDescent="0.3">
      <c r="I384" t="s">
        <v>885</v>
      </c>
      <c r="J384" t="s">
        <v>886</v>
      </c>
    </row>
    <row r="385" spans="9:10" x14ac:dyDescent="0.3">
      <c r="I385" t="s">
        <v>887</v>
      </c>
      <c r="J385" t="s">
        <v>888</v>
      </c>
    </row>
    <row r="386" spans="9:10" x14ac:dyDescent="0.3">
      <c r="I386" t="s">
        <v>889</v>
      </c>
      <c r="J386" t="s">
        <v>890</v>
      </c>
    </row>
    <row r="387" spans="9:10" x14ac:dyDescent="0.3">
      <c r="I387" t="s">
        <v>891</v>
      </c>
      <c r="J387" t="s">
        <v>892</v>
      </c>
    </row>
    <row r="388" spans="9:10" x14ac:dyDescent="0.3">
      <c r="I388" t="s">
        <v>893</v>
      </c>
      <c r="J388" t="s">
        <v>894</v>
      </c>
    </row>
    <row r="389" spans="9:10" x14ac:dyDescent="0.3">
      <c r="I389" t="s">
        <v>895</v>
      </c>
      <c r="J389" t="s">
        <v>896</v>
      </c>
    </row>
    <row r="390" spans="9:10" x14ac:dyDescent="0.3">
      <c r="I390" t="s">
        <v>897</v>
      </c>
      <c r="J390" t="s">
        <v>898</v>
      </c>
    </row>
    <row r="391" spans="9:10" x14ac:dyDescent="0.3">
      <c r="I391" t="s">
        <v>899</v>
      </c>
      <c r="J391" t="s">
        <v>900</v>
      </c>
    </row>
    <row r="392" spans="9:10" x14ac:dyDescent="0.3">
      <c r="I392" t="s">
        <v>901</v>
      </c>
      <c r="J392" t="s">
        <v>902</v>
      </c>
    </row>
    <row r="393" spans="9:10" x14ac:dyDescent="0.3">
      <c r="I393" t="s">
        <v>903</v>
      </c>
      <c r="J393" t="s">
        <v>904</v>
      </c>
    </row>
    <row r="394" spans="9:10" x14ac:dyDescent="0.3">
      <c r="I394" t="s">
        <v>905</v>
      </c>
      <c r="J394" t="s">
        <v>906</v>
      </c>
    </row>
    <row r="395" spans="9:10" x14ac:dyDescent="0.3">
      <c r="I395" t="s">
        <v>907</v>
      </c>
      <c r="J395" t="s">
        <v>908</v>
      </c>
    </row>
    <row r="396" spans="9:10" x14ac:dyDescent="0.3">
      <c r="I396" t="s">
        <v>909</v>
      </c>
      <c r="J396" t="s">
        <v>910</v>
      </c>
    </row>
    <row r="397" spans="9:10" x14ac:dyDescent="0.3">
      <c r="I397" t="s">
        <v>911</v>
      </c>
      <c r="J397" t="s">
        <v>912</v>
      </c>
    </row>
    <row r="398" spans="9:10" x14ac:dyDescent="0.3">
      <c r="I398" t="s">
        <v>913</v>
      </c>
      <c r="J398" t="s">
        <v>914</v>
      </c>
    </row>
    <row r="399" spans="9:10" x14ac:dyDescent="0.3">
      <c r="I399" t="s">
        <v>915</v>
      </c>
      <c r="J399" t="s">
        <v>916</v>
      </c>
    </row>
    <row r="400" spans="9:10" x14ac:dyDescent="0.3">
      <c r="I400" t="s">
        <v>917</v>
      </c>
      <c r="J400" t="s">
        <v>918</v>
      </c>
    </row>
    <row r="401" spans="9:10" x14ac:dyDescent="0.3">
      <c r="I401" t="s">
        <v>919</v>
      </c>
      <c r="J401" t="s">
        <v>920</v>
      </c>
    </row>
    <row r="402" spans="9:10" x14ac:dyDescent="0.3">
      <c r="I402" t="s">
        <v>921</v>
      </c>
      <c r="J402" t="s">
        <v>922</v>
      </c>
    </row>
    <row r="403" spans="9:10" x14ac:dyDescent="0.3">
      <c r="I403" t="s">
        <v>923</v>
      </c>
      <c r="J403" t="s">
        <v>924</v>
      </c>
    </row>
    <row r="404" spans="9:10" x14ac:dyDescent="0.3">
      <c r="I404" t="s">
        <v>925</v>
      </c>
      <c r="J404" t="s">
        <v>926</v>
      </c>
    </row>
    <row r="405" spans="9:10" x14ac:dyDescent="0.3">
      <c r="I405" t="s">
        <v>927</v>
      </c>
      <c r="J405" t="s">
        <v>928</v>
      </c>
    </row>
    <row r="406" spans="9:10" x14ac:dyDescent="0.3">
      <c r="I406" t="s">
        <v>929</v>
      </c>
      <c r="J406" t="s">
        <v>930</v>
      </c>
    </row>
    <row r="407" spans="9:10" x14ac:dyDescent="0.3">
      <c r="I407" t="s">
        <v>931</v>
      </c>
      <c r="J407" t="s">
        <v>405</v>
      </c>
    </row>
    <row r="408" spans="9:10" x14ac:dyDescent="0.3">
      <c r="I408" t="s">
        <v>932</v>
      </c>
      <c r="J408" t="s">
        <v>933</v>
      </c>
    </row>
    <row r="409" spans="9:10" x14ac:dyDescent="0.3">
      <c r="I409" t="s">
        <v>934</v>
      </c>
      <c r="J409" t="s">
        <v>935</v>
      </c>
    </row>
    <row r="410" spans="9:10" x14ac:dyDescent="0.3">
      <c r="I410" t="s">
        <v>936</v>
      </c>
      <c r="J410" t="s">
        <v>937</v>
      </c>
    </row>
    <row r="411" spans="9:10" x14ac:dyDescent="0.3">
      <c r="I411" t="s">
        <v>938</v>
      </c>
      <c r="J411" t="s">
        <v>939</v>
      </c>
    </row>
    <row r="412" spans="9:10" x14ac:dyDescent="0.3">
      <c r="I412" t="s">
        <v>940</v>
      </c>
      <c r="J412" t="s">
        <v>941</v>
      </c>
    </row>
    <row r="413" spans="9:10" x14ac:dyDescent="0.3">
      <c r="I413" t="s">
        <v>942</v>
      </c>
      <c r="J413" t="s">
        <v>943</v>
      </c>
    </row>
    <row r="414" spans="9:10" x14ac:dyDescent="0.3">
      <c r="I414" t="s">
        <v>944</v>
      </c>
      <c r="J414" t="s">
        <v>945</v>
      </c>
    </row>
    <row r="415" spans="9:10" x14ac:dyDescent="0.3">
      <c r="I415" t="s">
        <v>946</v>
      </c>
      <c r="J415" t="s">
        <v>947</v>
      </c>
    </row>
    <row r="416" spans="9:10" x14ac:dyDescent="0.3">
      <c r="I416" t="s">
        <v>948</v>
      </c>
      <c r="J416" t="s">
        <v>949</v>
      </c>
    </row>
    <row r="417" spans="9:10" x14ac:dyDescent="0.3">
      <c r="I417" t="s">
        <v>950</v>
      </c>
      <c r="J417" t="s">
        <v>951</v>
      </c>
    </row>
    <row r="418" spans="9:10" x14ac:dyDescent="0.3">
      <c r="I418" t="s">
        <v>952</v>
      </c>
      <c r="J418" t="s">
        <v>953</v>
      </c>
    </row>
    <row r="419" spans="9:10" x14ac:dyDescent="0.3">
      <c r="I419" t="s">
        <v>954</v>
      </c>
      <c r="J419" t="s">
        <v>955</v>
      </c>
    </row>
    <row r="420" spans="9:10" x14ac:dyDescent="0.3">
      <c r="I420" t="s">
        <v>956</v>
      </c>
      <c r="J420" t="s">
        <v>957</v>
      </c>
    </row>
    <row r="421" spans="9:10" x14ac:dyDescent="0.3">
      <c r="I421" t="s">
        <v>958</v>
      </c>
      <c r="J421" t="s">
        <v>959</v>
      </c>
    </row>
    <row r="422" spans="9:10" x14ac:dyDescent="0.3">
      <c r="I422" t="s">
        <v>960</v>
      </c>
      <c r="J422" t="s">
        <v>961</v>
      </c>
    </row>
    <row r="423" spans="9:10" x14ac:dyDescent="0.3">
      <c r="I423" t="s">
        <v>962</v>
      </c>
      <c r="J423" t="s">
        <v>963</v>
      </c>
    </row>
    <row r="424" spans="9:10" x14ac:dyDescent="0.3">
      <c r="I424" t="s">
        <v>964</v>
      </c>
      <c r="J424" t="s">
        <v>965</v>
      </c>
    </row>
    <row r="425" spans="9:10" x14ac:dyDescent="0.3">
      <c r="I425" t="s">
        <v>966</v>
      </c>
      <c r="J425" t="s">
        <v>967</v>
      </c>
    </row>
    <row r="426" spans="9:10" x14ac:dyDescent="0.3">
      <c r="I426" t="s">
        <v>968</v>
      </c>
      <c r="J426" t="s">
        <v>969</v>
      </c>
    </row>
    <row r="427" spans="9:10" x14ac:dyDescent="0.3">
      <c r="I427" t="s">
        <v>970</v>
      </c>
      <c r="J427" t="s">
        <v>971</v>
      </c>
    </row>
    <row r="428" spans="9:10" x14ac:dyDescent="0.3">
      <c r="I428" t="s">
        <v>972</v>
      </c>
      <c r="J428" t="s">
        <v>973</v>
      </c>
    </row>
    <row r="429" spans="9:10" x14ac:dyDescent="0.3">
      <c r="I429" t="s">
        <v>974</v>
      </c>
      <c r="J429" t="s">
        <v>975</v>
      </c>
    </row>
    <row r="430" spans="9:10" x14ac:dyDescent="0.3">
      <c r="I430" t="s">
        <v>976</v>
      </c>
      <c r="J430" t="s">
        <v>977</v>
      </c>
    </row>
    <row r="431" spans="9:10" x14ac:dyDescent="0.3">
      <c r="I431" t="s">
        <v>978</v>
      </c>
      <c r="J431" t="s">
        <v>979</v>
      </c>
    </row>
    <row r="432" spans="9:10" x14ac:dyDescent="0.3">
      <c r="I432" t="s">
        <v>980</v>
      </c>
      <c r="J432" t="s">
        <v>981</v>
      </c>
    </row>
    <row r="433" spans="9:10" x14ac:dyDescent="0.3">
      <c r="I433" t="s">
        <v>982</v>
      </c>
      <c r="J433" t="s">
        <v>983</v>
      </c>
    </row>
    <row r="434" spans="9:10" x14ac:dyDescent="0.3">
      <c r="I434" t="s">
        <v>984</v>
      </c>
      <c r="J434" t="s">
        <v>985</v>
      </c>
    </row>
    <row r="435" spans="9:10" x14ac:dyDescent="0.3">
      <c r="I435" t="s">
        <v>986</v>
      </c>
      <c r="J435" t="s">
        <v>987</v>
      </c>
    </row>
    <row r="436" spans="9:10" x14ac:dyDescent="0.3">
      <c r="I436" t="s">
        <v>988</v>
      </c>
      <c r="J436" t="s">
        <v>989</v>
      </c>
    </row>
    <row r="437" spans="9:10" x14ac:dyDescent="0.3">
      <c r="I437" t="s">
        <v>990</v>
      </c>
      <c r="J437" t="s">
        <v>991</v>
      </c>
    </row>
    <row r="438" spans="9:10" x14ac:dyDescent="0.3">
      <c r="I438" t="s">
        <v>992</v>
      </c>
      <c r="J438" t="s">
        <v>405</v>
      </c>
    </row>
    <row r="439" spans="9:10" x14ac:dyDescent="0.3">
      <c r="I439" t="s">
        <v>993</v>
      </c>
      <c r="J439" t="s">
        <v>994</v>
      </c>
    </row>
    <row r="440" spans="9:10" x14ac:dyDescent="0.3">
      <c r="I440" t="s">
        <v>995</v>
      </c>
      <c r="J440" t="s">
        <v>340</v>
      </c>
    </row>
    <row r="441" spans="9:10" x14ac:dyDescent="0.3">
      <c r="I441" t="s">
        <v>996</v>
      </c>
      <c r="J441" t="s">
        <v>342</v>
      </c>
    </row>
    <row r="442" spans="9:10" x14ac:dyDescent="0.3">
      <c r="I442" t="s">
        <v>997</v>
      </c>
      <c r="J442" t="s">
        <v>344</v>
      </c>
    </row>
    <row r="443" spans="9:10" x14ac:dyDescent="0.3">
      <c r="I443" t="s">
        <v>998</v>
      </c>
      <c r="J443" t="s">
        <v>346</v>
      </c>
    </row>
    <row r="444" spans="9:10" x14ac:dyDescent="0.3">
      <c r="I444" t="s">
        <v>999</v>
      </c>
      <c r="J444" t="s">
        <v>348</v>
      </c>
    </row>
    <row r="445" spans="9:10" x14ac:dyDescent="0.3">
      <c r="I445" t="s">
        <v>1000</v>
      </c>
      <c r="J445" t="s">
        <v>1001</v>
      </c>
    </row>
    <row r="446" spans="9:10" x14ac:dyDescent="0.3">
      <c r="I446" t="s">
        <v>1002</v>
      </c>
      <c r="J446" t="s">
        <v>1003</v>
      </c>
    </row>
    <row r="447" spans="9:10" x14ac:dyDescent="0.3">
      <c r="I447" t="s">
        <v>1004</v>
      </c>
      <c r="J447" t="s">
        <v>1005</v>
      </c>
    </row>
    <row r="448" spans="9:10" x14ac:dyDescent="0.3">
      <c r="I448" t="s">
        <v>1006</v>
      </c>
      <c r="J448" t="s">
        <v>1007</v>
      </c>
    </row>
    <row r="449" spans="9:10" x14ac:dyDescent="0.3">
      <c r="I449" t="s">
        <v>1008</v>
      </c>
      <c r="J449" t="s">
        <v>1009</v>
      </c>
    </row>
    <row r="450" spans="9:10" x14ac:dyDescent="0.3">
      <c r="I450" t="s">
        <v>1010</v>
      </c>
      <c r="J450" t="s">
        <v>1011</v>
      </c>
    </row>
    <row r="451" spans="9:10" x14ac:dyDescent="0.3">
      <c r="I451" t="s">
        <v>1012</v>
      </c>
      <c r="J451" t="s">
        <v>1013</v>
      </c>
    </row>
    <row r="452" spans="9:10" x14ac:dyDescent="0.3">
      <c r="I452" t="s">
        <v>1014</v>
      </c>
      <c r="J452" t="s">
        <v>1015</v>
      </c>
    </row>
    <row r="453" spans="9:10" x14ac:dyDescent="0.3">
      <c r="I453" t="s">
        <v>1016</v>
      </c>
      <c r="J453" t="s">
        <v>1017</v>
      </c>
    </row>
    <row r="454" spans="9:10" x14ac:dyDescent="0.3">
      <c r="I454" t="s">
        <v>1018</v>
      </c>
      <c r="J454" t="s">
        <v>1019</v>
      </c>
    </row>
    <row r="455" spans="9:10" x14ac:dyDescent="0.3">
      <c r="I455" t="s">
        <v>1020</v>
      </c>
      <c r="J455" t="s">
        <v>1021</v>
      </c>
    </row>
    <row r="456" spans="9:10" x14ac:dyDescent="0.3">
      <c r="I456" t="s">
        <v>1022</v>
      </c>
      <c r="J456" t="s">
        <v>1023</v>
      </c>
    </row>
    <row r="457" spans="9:10" x14ac:dyDescent="0.3">
      <c r="I457" t="s">
        <v>1024</v>
      </c>
      <c r="J457" t="s">
        <v>1025</v>
      </c>
    </row>
    <row r="458" spans="9:10" x14ac:dyDescent="0.3">
      <c r="I458" t="s">
        <v>1026</v>
      </c>
      <c r="J458" t="s">
        <v>1027</v>
      </c>
    </row>
    <row r="459" spans="9:10" x14ac:dyDescent="0.3">
      <c r="I459" t="s">
        <v>1028</v>
      </c>
      <c r="J459" t="s">
        <v>1027</v>
      </c>
    </row>
    <row r="460" spans="9:10" x14ac:dyDescent="0.3">
      <c r="I460" t="s">
        <v>1029</v>
      </c>
      <c r="J460" t="s">
        <v>1030</v>
      </c>
    </row>
    <row r="461" spans="9:10" x14ac:dyDescent="0.3">
      <c r="I461" t="s">
        <v>1031</v>
      </c>
      <c r="J461" t="s">
        <v>1032</v>
      </c>
    </row>
    <row r="462" spans="9:10" x14ac:dyDescent="0.3">
      <c r="I462" t="s">
        <v>1033</v>
      </c>
      <c r="J462" t="s">
        <v>1034</v>
      </c>
    </row>
    <row r="463" spans="9:10" x14ac:dyDescent="0.3">
      <c r="I463" t="s">
        <v>319</v>
      </c>
      <c r="J463" t="s">
        <v>320</v>
      </c>
    </row>
    <row r="464" spans="9:10" x14ac:dyDescent="0.3">
      <c r="I464" t="s">
        <v>321</v>
      </c>
      <c r="J464" t="s">
        <v>322</v>
      </c>
    </row>
    <row r="465" spans="9:10" x14ac:dyDescent="0.3">
      <c r="I465" t="s">
        <v>323</v>
      </c>
      <c r="J465" t="s">
        <v>324</v>
      </c>
    </row>
    <row r="466" spans="9:10" x14ac:dyDescent="0.3">
      <c r="I466" t="s">
        <v>325</v>
      </c>
      <c r="J466" t="s">
        <v>326</v>
      </c>
    </row>
    <row r="467" spans="9:10" x14ac:dyDescent="0.3">
      <c r="I467" t="s">
        <v>327</v>
      </c>
      <c r="J467" t="s">
        <v>328</v>
      </c>
    </row>
    <row r="468" spans="9:10" x14ac:dyDescent="0.3">
      <c r="I468" t="s">
        <v>1035</v>
      </c>
      <c r="J468" t="s">
        <v>1036</v>
      </c>
    </row>
    <row r="469" spans="9:10" x14ac:dyDescent="0.3">
      <c r="I469" t="s">
        <v>329</v>
      </c>
      <c r="J469" t="s">
        <v>330</v>
      </c>
    </row>
    <row r="470" spans="9:10" x14ac:dyDescent="0.3">
      <c r="I470" t="s">
        <v>331</v>
      </c>
      <c r="J470" t="s">
        <v>332</v>
      </c>
    </row>
    <row r="471" spans="9:10" x14ac:dyDescent="0.3">
      <c r="I471" t="s">
        <v>333</v>
      </c>
      <c r="J471" t="s">
        <v>334</v>
      </c>
    </row>
    <row r="472" spans="9:10" x14ac:dyDescent="0.3">
      <c r="I472" t="s">
        <v>335</v>
      </c>
      <c r="J472" t="s">
        <v>336</v>
      </c>
    </row>
    <row r="473" spans="9:10" x14ac:dyDescent="0.3">
      <c r="I473" t="s">
        <v>337</v>
      </c>
      <c r="J473" t="s">
        <v>338</v>
      </c>
    </row>
    <row r="474" spans="9:10" x14ac:dyDescent="0.3">
      <c r="I474" t="s">
        <v>1037</v>
      </c>
      <c r="J474" t="s">
        <v>1038</v>
      </c>
    </row>
    <row r="475" spans="9:10" x14ac:dyDescent="0.3">
      <c r="I475" t="s">
        <v>1039</v>
      </c>
      <c r="J475" t="s">
        <v>1040</v>
      </c>
    </row>
    <row r="476" spans="9:10" x14ac:dyDescent="0.3">
      <c r="I476" t="s">
        <v>1041</v>
      </c>
      <c r="J476" t="s">
        <v>1042</v>
      </c>
    </row>
    <row r="477" spans="9:10" x14ac:dyDescent="0.3">
      <c r="I477" t="s">
        <v>1043</v>
      </c>
      <c r="J477" t="s">
        <v>1044</v>
      </c>
    </row>
    <row r="478" spans="9:10" x14ac:dyDescent="0.3">
      <c r="I478" t="s">
        <v>1045</v>
      </c>
      <c r="J478" t="s">
        <v>1046</v>
      </c>
    </row>
    <row r="479" spans="9:10" x14ac:dyDescent="0.3">
      <c r="I479" t="s">
        <v>1047</v>
      </c>
      <c r="J479" t="s">
        <v>1048</v>
      </c>
    </row>
    <row r="480" spans="9:10" x14ac:dyDescent="0.3">
      <c r="I480" t="s">
        <v>1049</v>
      </c>
      <c r="J480" t="s">
        <v>1050</v>
      </c>
    </row>
    <row r="481" spans="9:10" x14ac:dyDescent="0.3">
      <c r="I481" t="s">
        <v>1051</v>
      </c>
      <c r="J481" t="s">
        <v>1052</v>
      </c>
    </row>
    <row r="482" spans="9:10" x14ac:dyDescent="0.3">
      <c r="I482" t="s">
        <v>1053</v>
      </c>
      <c r="J482" t="s">
        <v>1054</v>
      </c>
    </row>
    <row r="483" spans="9:10" x14ac:dyDescent="0.3">
      <c r="I483" t="s">
        <v>1055</v>
      </c>
      <c r="J483" t="s">
        <v>1056</v>
      </c>
    </row>
    <row r="484" spans="9:10" x14ac:dyDescent="0.3">
      <c r="I484" t="s">
        <v>1057</v>
      </c>
      <c r="J484" t="s">
        <v>1058</v>
      </c>
    </row>
    <row r="485" spans="9:10" x14ac:dyDescent="0.3">
      <c r="I485" t="s">
        <v>1059</v>
      </c>
      <c r="J485" t="s">
        <v>1060</v>
      </c>
    </row>
    <row r="486" spans="9:10" x14ac:dyDescent="0.3">
      <c r="I486" t="s">
        <v>1061</v>
      </c>
      <c r="J486" t="s">
        <v>1062</v>
      </c>
    </row>
    <row r="487" spans="9:10" x14ac:dyDescent="0.3">
      <c r="I487" t="s">
        <v>1063</v>
      </c>
      <c r="J487" t="s">
        <v>1064</v>
      </c>
    </row>
    <row r="488" spans="9:10" x14ac:dyDescent="0.3">
      <c r="I488" t="s">
        <v>1065</v>
      </c>
      <c r="J488" t="s">
        <v>1066</v>
      </c>
    </row>
    <row r="489" spans="9:10" x14ac:dyDescent="0.3">
      <c r="I489" t="s">
        <v>1067</v>
      </c>
      <c r="J489" t="s">
        <v>1068</v>
      </c>
    </row>
    <row r="490" spans="9:10" x14ac:dyDescent="0.3">
      <c r="I490" t="s">
        <v>1069</v>
      </c>
      <c r="J490" t="s">
        <v>1070</v>
      </c>
    </row>
    <row r="491" spans="9:10" x14ac:dyDescent="0.3">
      <c r="I491" t="s">
        <v>1071</v>
      </c>
      <c r="J491" t="s">
        <v>1072</v>
      </c>
    </row>
    <row r="492" spans="9:10" x14ac:dyDescent="0.3">
      <c r="I492" t="s">
        <v>1073</v>
      </c>
      <c r="J492" t="s">
        <v>1074</v>
      </c>
    </row>
    <row r="493" spans="9:10" x14ac:dyDescent="0.3">
      <c r="I493" t="s">
        <v>1075</v>
      </c>
      <c r="J493" t="s">
        <v>1076</v>
      </c>
    </row>
    <row r="494" spans="9:10" x14ac:dyDescent="0.3">
      <c r="I494" t="s">
        <v>1077</v>
      </c>
      <c r="J494" t="s">
        <v>1078</v>
      </c>
    </row>
    <row r="495" spans="9:10" x14ac:dyDescent="0.3">
      <c r="I495" t="s">
        <v>1079</v>
      </c>
      <c r="J495" t="s">
        <v>1080</v>
      </c>
    </row>
    <row r="496" spans="9:10" x14ac:dyDescent="0.3">
      <c r="I496" t="s">
        <v>1081</v>
      </c>
      <c r="J496" t="s">
        <v>1082</v>
      </c>
    </row>
    <row r="497" spans="9:10" x14ac:dyDescent="0.3">
      <c r="I497" t="s">
        <v>1083</v>
      </c>
      <c r="J497" t="s">
        <v>1084</v>
      </c>
    </row>
    <row r="498" spans="9:10" x14ac:dyDescent="0.3">
      <c r="I498" t="s">
        <v>1085</v>
      </c>
      <c r="J498" t="s">
        <v>1086</v>
      </c>
    </row>
    <row r="499" spans="9:10" x14ac:dyDescent="0.3">
      <c r="I499" t="s">
        <v>1087</v>
      </c>
      <c r="J499" t="s">
        <v>1088</v>
      </c>
    </row>
    <row r="500" spans="9:10" x14ac:dyDescent="0.3">
      <c r="I500" t="s">
        <v>1089</v>
      </c>
      <c r="J500" t="s">
        <v>1090</v>
      </c>
    </row>
    <row r="501" spans="9:10" x14ac:dyDescent="0.3">
      <c r="I501" t="s">
        <v>1091</v>
      </c>
      <c r="J501" t="s">
        <v>1092</v>
      </c>
    </row>
    <row r="502" spans="9:10" x14ac:dyDescent="0.3">
      <c r="I502" t="s">
        <v>1093</v>
      </c>
      <c r="J502" t="s">
        <v>1094</v>
      </c>
    </row>
    <row r="503" spans="9:10" x14ac:dyDescent="0.3">
      <c r="I503" t="s">
        <v>1095</v>
      </c>
      <c r="J503" t="s">
        <v>1096</v>
      </c>
    </row>
    <row r="504" spans="9:10" x14ac:dyDescent="0.3">
      <c r="I504" t="s">
        <v>1097</v>
      </c>
      <c r="J504" t="s">
        <v>1098</v>
      </c>
    </row>
    <row r="505" spans="9:10" x14ac:dyDescent="0.3">
      <c r="I505" t="s">
        <v>1099</v>
      </c>
      <c r="J505" t="s">
        <v>1100</v>
      </c>
    </row>
    <row r="506" spans="9:10" x14ac:dyDescent="0.3">
      <c r="I506" t="s">
        <v>1101</v>
      </c>
      <c r="J506" t="s">
        <v>1102</v>
      </c>
    </row>
    <row r="507" spans="9:10" x14ac:dyDescent="0.3">
      <c r="I507" t="s">
        <v>1103</v>
      </c>
      <c r="J507" t="s">
        <v>1104</v>
      </c>
    </row>
    <row r="508" spans="9:10" x14ac:dyDescent="0.3">
      <c r="I508" t="s">
        <v>1105</v>
      </c>
      <c r="J508" t="s">
        <v>1106</v>
      </c>
    </row>
    <row r="509" spans="9:10" x14ac:dyDescent="0.3">
      <c r="I509" t="s">
        <v>1107</v>
      </c>
      <c r="J509" t="s">
        <v>1108</v>
      </c>
    </row>
    <row r="510" spans="9:10" x14ac:dyDescent="0.3">
      <c r="I510" t="s">
        <v>1109</v>
      </c>
      <c r="J510" t="s">
        <v>1110</v>
      </c>
    </row>
    <row r="511" spans="9:10" x14ac:dyDescent="0.3">
      <c r="I511" t="s">
        <v>1111</v>
      </c>
      <c r="J511" t="s">
        <v>1112</v>
      </c>
    </row>
    <row r="512" spans="9:10" x14ac:dyDescent="0.3">
      <c r="I512" t="s">
        <v>1113</v>
      </c>
      <c r="J512" t="s">
        <v>1114</v>
      </c>
    </row>
    <row r="513" spans="9:10" x14ac:dyDescent="0.3">
      <c r="I513" t="s">
        <v>1115</v>
      </c>
      <c r="J513" t="s">
        <v>1116</v>
      </c>
    </row>
    <row r="514" spans="9:10" x14ac:dyDescent="0.3">
      <c r="I514" t="s">
        <v>1117</v>
      </c>
      <c r="J514" t="s">
        <v>1118</v>
      </c>
    </row>
    <row r="515" spans="9:10" x14ac:dyDescent="0.3">
      <c r="I515" t="s">
        <v>1119</v>
      </c>
      <c r="J515" t="s">
        <v>1120</v>
      </c>
    </row>
    <row r="516" spans="9:10" x14ac:dyDescent="0.3">
      <c r="I516" t="s">
        <v>1121</v>
      </c>
      <c r="J516" t="s">
        <v>1122</v>
      </c>
    </row>
    <row r="517" spans="9:10" x14ac:dyDescent="0.3">
      <c r="I517" t="s">
        <v>1123</v>
      </c>
      <c r="J517" t="s">
        <v>1124</v>
      </c>
    </row>
    <row r="518" spans="9:10" x14ac:dyDescent="0.3">
      <c r="I518" t="s">
        <v>1125</v>
      </c>
      <c r="J518" t="s">
        <v>1126</v>
      </c>
    </row>
    <row r="519" spans="9:10" x14ac:dyDescent="0.3">
      <c r="I519" t="s">
        <v>1127</v>
      </c>
      <c r="J519" t="s">
        <v>1128</v>
      </c>
    </row>
    <row r="520" spans="9:10" x14ac:dyDescent="0.3">
      <c r="I520" t="s">
        <v>1129</v>
      </c>
      <c r="J520" t="s">
        <v>1130</v>
      </c>
    </row>
    <row r="521" spans="9:10" x14ac:dyDescent="0.3">
      <c r="I521" t="s">
        <v>1131</v>
      </c>
      <c r="J521" t="s">
        <v>1132</v>
      </c>
    </row>
    <row r="522" spans="9:10" x14ac:dyDescent="0.3">
      <c r="I522" t="s">
        <v>1133</v>
      </c>
      <c r="J522" t="s">
        <v>1134</v>
      </c>
    </row>
    <row r="523" spans="9:10" x14ac:dyDescent="0.3">
      <c r="I523" t="s">
        <v>1135</v>
      </c>
      <c r="J523" t="s">
        <v>1136</v>
      </c>
    </row>
    <row r="524" spans="9:10" x14ac:dyDescent="0.3">
      <c r="I524" t="s">
        <v>339</v>
      </c>
      <c r="J524" t="s">
        <v>1137</v>
      </c>
    </row>
    <row r="525" spans="9:10" x14ac:dyDescent="0.3">
      <c r="I525" t="s">
        <v>341</v>
      </c>
      <c r="J525" t="s">
        <v>1138</v>
      </c>
    </row>
    <row r="526" spans="9:10" x14ac:dyDescent="0.3">
      <c r="I526" t="s">
        <v>343</v>
      </c>
      <c r="J526" t="s">
        <v>1139</v>
      </c>
    </row>
    <row r="527" spans="9:10" x14ac:dyDescent="0.3">
      <c r="I527" t="s">
        <v>345</v>
      </c>
      <c r="J527" t="s">
        <v>1140</v>
      </c>
    </row>
    <row r="528" spans="9:10" x14ac:dyDescent="0.3">
      <c r="I528" t="s">
        <v>347</v>
      </c>
      <c r="J528" t="s">
        <v>1141</v>
      </c>
    </row>
    <row r="529" spans="9:10" x14ac:dyDescent="0.3">
      <c r="I529" t="s">
        <v>1142</v>
      </c>
      <c r="J529" t="s">
        <v>1143</v>
      </c>
    </row>
    <row r="530" spans="9:10" x14ac:dyDescent="0.3">
      <c r="I530" t="s">
        <v>1144</v>
      </c>
      <c r="J530" t="s">
        <v>1145</v>
      </c>
    </row>
    <row r="531" spans="9:10" x14ac:dyDescent="0.3">
      <c r="I531" t="s">
        <v>1146</v>
      </c>
      <c r="J531" t="s">
        <v>1147</v>
      </c>
    </row>
    <row r="532" spans="9:10" x14ac:dyDescent="0.3">
      <c r="I532" t="s">
        <v>1148</v>
      </c>
      <c r="J532" t="s">
        <v>1149</v>
      </c>
    </row>
    <row r="533" spans="9:10" x14ac:dyDescent="0.3">
      <c r="I533" t="s">
        <v>1150</v>
      </c>
      <c r="J533" t="s">
        <v>1151</v>
      </c>
    </row>
    <row r="534" spans="9:10" x14ac:dyDescent="0.3">
      <c r="I534" t="s">
        <v>1152</v>
      </c>
      <c r="J534" t="s">
        <v>1153</v>
      </c>
    </row>
    <row r="535" spans="9:10" x14ac:dyDescent="0.3">
      <c r="I535" t="s">
        <v>1154</v>
      </c>
      <c r="J535" t="s">
        <v>1155</v>
      </c>
    </row>
    <row r="536" spans="9:10" x14ac:dyDescent="0.3">
      <c r="I536" t="s">
        <v>1156</v>
      </c>
      <c r="J536" t="s">
        <v>1157</v>
      </c>
    </row>
    <row r="537" spans="9:10" x14ac:dyDescent="0.3">
      <c r="I537" t="s">
        <v>1158</v>
      </c>
      <c r="J537" t="s">
        <v>1159</v>
      </c>
    </row>
    <row r="538" spans="9:10" x14ac:dyDescent="0.3">
      <c r="I538" t="s">
        <v>1160</v>
      </c>
      <c r="J538" t="s">
        <v>1161</v>
      </c>
    </row>
    <row r="539" spans="9:10" x14ac:dyDescent="0.3">
      <c r="I539" t="s">
        <v>1162</v>
      </c>
      <c r="J539" t="s">
        <v>1163</v>
      </c>
    </row>
    <row r="540" spans="9:10" x14ac:dyDescent="0.3">
      <c r="I540" t="s">
        <v>1164</v>
      </c>
      <c r="J540" t="s">
        <v>1165</v>
      </c>
    </row>
    <row r="541" spans="9:10" x14ac:dyDescent="0.3">
      <c r="I541" t="s">
        <v>1166</v>
      </c>
      <c r="J541" t="s">
        <v>1167</v>
      </c>
    </row>
    <row r="542" spans="9:10" x14ac:dyDescent="0.3">
      <c r="I542" t="s">
        <v>1168</v>
      </c>
      <c r="J542" t="s">
        <v>1169</v>
      </c>
    </row>
    <row r="543" spans="9:10" x14ac:dyDescent="0.3">
      <c r="I543" t="s">
        <v>1170</v>
      </c>
      <c r="J543" t="s">
        <v>1171</v>
      </c>
    </row>
    <row r="544" spans="9:10" x14ac:dyDescent="0.3">
      <c r="I544" t="s">
        <v>1172</v>
      </c>
      <c r="J544" t="s">
        <v>1173</v>
      </c>
    </row>
    <row r="545" spans="9:10" x14ac:dyDescent="0.3">
      <c r="I545" t="s">
        <v>1174</v>
      </c>
      <c r="J545" t="s">
        <v>1175</v>
      </c>
    </row>
    <row r="546" spans="9:10" x14ac:dyDescent="0.3">
      <c r="I546" t="s">
        <v>1176</v>
      </c>
      <c r="J546" t="s">
        <v>1177</v>
      </c>
    </row>
    <row r="547" spans="9:10" x14ac:dyDescent="0.3">
      <c r="I547" t="s">
        <v>1178</v>
      </c>
      <c r="J547" t="s">
        <v>1179</v>
      </c>
    </row>
    <row r="548" spans="9:10" x14ac:dyDescent="0.3">
      <c r="I548" t="s">
        <v>1180</v>
      </c>
      <c r="J548" t="s">
        <v>1181</v>
      </c>
    </row>
    <row r="549" spans="9:10" x14ac:dyDescent="0.3">
      <c r="I549" t="s">
        <v>1182</v>
      </c>
      <c r="J549" t="s">
        <v>1183</v>
      </c>
    </row>
    <row r="550" spans="9:10" x14ac:dyDescent="0.3">
      <c r="I550" t="s">
        <v>1184</v>
      </c>
      <c r="J550" t="s">
        <v>1185</v>
      </c>
    </row>
    <row r="551" spans="9:10" x14ac:dyDescent="0.3">
      <c r="I551" t="s">
        <v>1186</v>
      </c>
      <c r="J551" t="s">
        <v>1187</v>
      </c>
    </row>
    <row r="552" spans="9:10" x14ac:dyDescent="0.3">
      <c r="I552" t="s">
        <v>1188</v>
      </c>
      <c r="J552" t="s">
        <v>1189</v>
      </c>
    </row>
    <row r="553" spans="9:10" x14ac:dyDescent="0.3">
      <c r="I553" t="s">
        <v>1190</v>
      </c>
      <c r="J553" t="s">
        <v>1191</v>
      </c>
    </row>
    <row r="554" spans="9:10" x14ac:dyDescent="0.3">
      <c r="I554" t="s">
        <v>1192</v>
      </c>
      <c r="J554" t="s">
        <v>1193</v>
      </c>
    </row>
    <row r="555" spans="9:10" x14ac:dyDescent="0.3">
      <c r="I555" t="s">
        <v>152</v>
      </c>
      <c r="J555" t="s">
        <v>153</v>
      </c>
    </row>
    <row r="556" spans="9:10" x14ac:dyDescent="0.3">
      <c r="I556" t="s">
        <v>1194</v>
      </c>
      <c r="J556" t="s">
        <v>1195</v>
      </c>
    </row>
    <row r="557" spans="9:10" x14ac:dyDescent="0.3">
      <c r="I557" t="s">
        <v>1196</v>
      </c>
      <c r="J557" t="s">
        <v>1197</v>
      </c>
    </row>
    <row r="558" spans="9:10" x14ac:dyDescent="0.3">
      <c r="I558" t="s">
        <v>1198</v>
      </c>
      <c r="J558" t="s">
        <v>1199</v>
      </c>
    </row>
    <row r="559" spans="9:10" x14ac:dyDescent="0.3">
      <c r="I559" t="s">
        <v>1200</v>
      </c>
      <c r="J559" t="s">
        <v>405</v>
      </c>
    </row>
    <row r="560" spans="9:10" x14ac:dyDescent="0.3">
      <c r="I560" t="s">
        <v>1201</v>
      </c>
      <c r="J560" t="s">
        <v>405</v>
      </c>
    </row>
    <row r="561" spans="9:10" x14ac:dyDescent="0.3">
      <c r="I561" t="s">
        <v>1202</v>
      </c>
      <c r="J561" t="s">
        <v>405</v>
      </c>
    </row>
    <row r="562" spans="9:10" x14ac:dyDescent="0.3">
      <c r="I562" t="s">
        <v>1203</v>
      </c>
      <c r="J562" t="s">
        <v>405</v>
      </c>
    </row>
    <row r="563" spans="9:10" x14ac:dyDescent="0.3">
      <c r="I563" t="s">
        <v>1204</v>
      </c>
      <c r="J563" t="s">
        <v>1205</v>
      </c>
    </row>
    <row r="564" spans="9:10" x14ac:dyDescent="0.3">
      <c r="I564" t="s">
        <v>1206</v>
      </c>
      <c r="J564" t="s">
        <v>1207</v>
      </c>
    </row>
    <row r="565" spans="9:10" x14ac:dyDescent="0.3">
      <c r="I565" t="s">
        <v>1208</v>
      </c>
      <c r="J565" t="s">
        <v>1209</v>
      </c>
    </row>
    <row r="566" spans="9:10" x14ac:dyDescent="0.3">
      <c r="I566" t="s">
        <v>1210</v>
      </c>
      <c r="J566" t="s">
        <v>1211</v>
      </c>
    </row>
    <row r="567" spans="9:10" x14ac:dyDescent="0.3">
      <c r="I567" t="s">
        <v>1212</v>
      </c>
      <c r="J567" t="s">
        <v>1213</v>
      </c>
    </row>
    <row r="568" spans="9:10" x14ac:dyDescent="0.3">
      <c r="I568" t="s">
        <v>1214</v>
      </c>
      <c r="J568" t="s">
        <v>1215</v>
      </c>
    </row>
    <row r="569" spans="9:10" x14ac:dyDescent="0.3">
      <c r="I569" t="s">
        <v>1216</v>
      </c>
      <c r="J569" t="s">
        <v>1217</v>
      </c>
    </row>
    <row r="570" spans="9:10" x14ac:dyDescent="0.3">
      <c r="I570" t="s">
        <v>1218</v>
      </c>
      <c r="J570" t="s">
        <v>1219</v>
      </c>
    </row>
    <row r="571" spans="9:10" x14ac:dyDescent="0.3">
      <c r="I571" t="s">
        <v>1220</v>
      </c>
      <c r="J571" t="s">
        <v>1221</v>
      </c>
    </row>
    <row r="572" spans="9:10" x14ac:dyDescent="0.3">
      <c r="I572" t="s">
        <v>1222</v>
      </c>
      <c r="J572" t="s">
        <v>1223</v>
      </c>
    </row>
    <row r="573" spans="9:10" x14ac:dyDescent="0.3">
      <c r="I573" t="s">
        <v>1224</v>
      </c>
      <c r="J573" t="s">
        <v>1225</v>
      </c>
    </row>
    <row r="574" spans="9:10" x14ac:dyDescent="0.3">
      <c r="I574" t="s">
        <v>1226</v>
      </c>
      <c r="J574" t="s">
        <v>1227</v>
      </c>
    </row>
    <row r="575" spans="9:10" x14ac:dyDescent="0.3">
      <c r="I575" t="s">
        <v>154</v>
      </c>
      <c r="J575" t="s">
        <v>155</v>
      </c>
    </row>
    <row r="576" spans="9:10" x14ac:dyDescent="0.3">
      <c r="I576" t="s">
        <v>1228</v>
      </c>
      <c r="J576" t="s">
        <v>1229</v>
      </c>
    </row>
    <row r="577" spans="9:10" x14ac:dyDescent="0.3">
      <c r="I577" t="s">
        <v>1230</v>
      </c>
      <c r="J577" t="s">
        <v>1231</v>
      </c>
    </row>
    <row r="578" spans="9:10" x14ac:dyDescent="0.3">
      <c r="I578" t="s">
        <v>1232</v>
      </c>
      <c r="J578" t="s">
        <v>1233</v>
      </c>
    </row>
    <row r="579" spans="9:10" x14ac:dyDescent="0.3">
      <c r="I579" t="s">
        <v>1234</v>
      </c>
      <c r="J579" t="s">
        <v>1235</v>
      </c>
    </row>
    <row r="580" spans="9:10" x14ac:dyDescent="0.3">
      <c r="I580" t="s">
        <v>1236</v>
      </c>
      <c r="J580" t="s">
        <v>1237</v>
      </c>
    </row>
    <row r="581" spans="9:10" x14ac:dyDescent="0.3">
      <c r="I581" t="s">
        <v>156</v>
      </c>
      <c r="J581" t="s">
        <v>60</v>
      </c>
    </row>
    <row r="582" spans="9:10" x14ac:dyDescent="0.3">
      <c r="I582" t="s">
        <v>1238</v>
      </c>
      <c r="J582" t="s">
        <v>1239</v>
      </c>
    </row>
    <row r="583" spans="9:10" x14ac:dyDescent="0.3">
      <c r="I583" t="s">
        <v>1240</v>
      </c>
      <c r="J583" t="s">
        <v>1241</v>
      </c>
    </row>
    <row r="584" spans="9:10" x14ac:dyDescent="0.3">
      <c r="I584" t="s">
        <v>1242</v>
      </c>
      <c r="J584" t="s">
        <v>1243</v>
      </c>
    </row>
    <row r="585" spans="9:10" x14ac:dyDescent="0.3">
      <c r="I585" t="s">
        <v>1244</v>
      </c>
      <c r="J585" t="s">
        <v>1245</v>
      </c>
    </row>
    <row r="586" spans="9:10" x14ac:dyDescent="0.3">
      <c r="I586" t="s">
        <v>1246</v>
      </c>
      <c r="J586" t="s">
        <v>1247</v>
      </c>
    </row>
    <row r="587" spans="9:10" x14ac:dyDescent="0.3">
      <c r="I587" t="s">
        <v>1248</v>
      </c>
      <c r="J587" t="s">
        <v>1249</v>
      </c>
    </row>
    <row r="588" spans="9:10" x14ac:dyDescent="0.3">
      <c r="I588" t="s">
        <v>1250</v>
      </c>
      <c r="J588" t="s">
        <v>1251</v>
      </c>
    </row>
    <row r="589" spans="9:10" x14ac:dyDescent="0.3">
      <c r="I589" t="s">
        <v>1252</v>
      </c>
      <c r="J589" t="s">
        <v>1253</v>
      </c>
    </row>
    <row r="590" spans="9:10" x14ac:dyDescent="0.3">
      <c r="I590" t="s">
        <v>1254</v>
      </c>
      <c r="J590" t="s">
        <v>1255</v>
      </c>
    </row>
    <row r="591" spans="9:10" x14ac:dyDescent="0.3">
      <c r="I591" t="s">
        <v>1256</v>
      </c>
      <c r="J591" t="s">
        <v>1257</v>
      </c>
    </row>
    <row r="592" spans="9:10" x14ac:dyDescent="0.3">
      <c r="I592" t="s">
        <v>1258</v>
      </c>
      <c r="J592" t="s">
        <v>1259</v>
      </c>
    </row>
    <row r="593" spans="9:10" x14ac:dyDescent="0.3">
      <c r="I593" t="s">
        <v>1260</v>
      </c>
      <c r="J593" t="s">
        <v>1261</v>
      </c>
    </row>
    <row r="594" spans="9:10" x14ac:dyDescent="0.3">
      <c r="I594" t="s">
        <v>1262</v>
      </c>
      <c r="J594" t="s">
        <v>1263</v>
      </c>
    </row>
    <row r="595" spans="9:10" x14ac:dyDescent="0.3">
      <c r="I595" t="s">
        <v>1264</v>
      </c>
      <c r="J595" t="s">
        <v>1265</v>
      </c>
    </row>
    <row r="596" spans="9:10" x14ac:dyDescent="0.3">
      <c r="I596" t="s">
        <v>1266</v>
      </c>
      <c r="J596" t="s">
        <v>1267</v>
      </c>
    </row>
    <row r="597" spans="9:10" x14ac:dyDescent="0.3">
      <c r="I597" t="s">
        <v>1268</v>
      </c>
      <c r="J597" t="s">
        <v>1269</v>
      </c>
    </row>
    <row r="598" spans="9:10" x14ac:dyDescent="0.3">
      <c r="I598" t="s">
        <v>1270</v>
      </c>
      <c r="J598" t="s">
        <v>1271</v>
      </c>
    </row>
    <row r="599" spans="9:10" x14ac:dyDescent="0.3">
      <c r="I599" t="s">
        <v>1272</v>
      </c>
      <c r="J599" t="s">
        <v>1273</v>
      </c>
    </row>
    <row r="600" spans="9:10" x14ac:dyDescent="0.3">
      <c r="I600" t="s">
        <v>1274</v>
      </c>
      <c r="J600" t="s">
        <v>1275</v>
      </c>
    </row>
    <row r="601" spans="9:10" x14ac:dyDescent="0.3">
      <c r="I601" t="s">
        <v>1276</v>
      </c>
      <c r="J601" t="s">
        <v>1277</v>
      </c>
    </row>
    <row r="602" spans="9:10" x14ac:dyDescent="0.3">
      <c r="I602" t="s">
        <v>1278</v>
      </c>
      <c r="J602" t="s">
        <v>1279</v>
      </c>
    </row>
    <row r="603" spans="9:10" x14ac:dyDescent="0.3">
      <c r="I603" t="s">
        <v>1280</v>
      </c>
      <c r="J603" t="s">
        <v>1281</v>
      </c>
    </row>
    <row r="604" spans="9:10" x14ac:dyDescent="0.3">
      <c r="I604" t="s">
        <v>1282</v>
      </c>
      <c r="J604" t="s">
        <v>1283</v>
      </c>
    </row>
    <row r="605" spans="9:10" x14ac:dyDescent="0.3">
      <c r="I605" t="s">
        <v>1284</v>
      </c>
      <c r="J605" t="s">
        <v>1285</v>
      </c>
    </row>
    <row r="606" spans="9:10" x14ac:dyDescent="0.3">
      <c r="I606" t="s">
        <v>1286</v>
      </c>
      <c r="J606" t="s">
        <v>1287</v>
      </c>
    </row>
    <row r="607" spans="9:10" x14ac:dyDescent="0.3">
      <c r="I607" t="s">
        <v>1288</v>
      </c>
      <c r="J607" t="s">
        <v>1289</v>
      </c>
    </row>
    <row r="608" spans="9:10" x14ac:dyDescent="0.3">
      <c r="I608" t="s">
        <v>1290</v>
      </c>
      <c r="J608" t="s">
        <v>1291</v>
      </c>
    </row>
    <row r="609" spans="9:10" x14ac:dyDescent="0.3">
      <c r="I609" t="s">
        <v>1292</v>
      </c>
      <c r="J609" t="s">
        <v>1293</v>
      </c>
    </row>
    <row r="610" spans="9:10" x14ac:dyDescent="0.3">
      <c r="I610" t="s">
        <v>1294</v>
      </c>
      <c r="J610" t="s">
        <v>1295</v>
      </c>
    </row>
    <row r="611" spans="9:10" x14ac:dyDescent="0.3">
      <c r="I611" t="s">
        <v>1296</v>
      </c>
      <c r="J611" t="s">
        <v>1297</v>
      </c>
    </row>
    <row r="612" spans="9:10" x14ac:dyDescent="0.3">
      <c r="I612" t="s">
        <v>1298</v>
      </c>
      <c r="J612" t="s">
        <v>1299</v>
      </c>
    </row>
    <row r="613" spans="9:10" x14ac:dyDescent="0.3">
      <c r="I613" t="s">
        <v>1300</v>
      </c>
      <c r="J613" t="s">
        <v>1301</v>
      </c>
    </row>
    <row r="614" spans="9:10" x14ac:dyDescent="0.3">
      <c r="I614" t="s">
        <v>1302</v>
      </c>
      <c r="J614" t="s">
        <v>1303</v>
      </c>
    </row>
    <row r="615" spans="9:10" x14ac:dyDescent="0.3">
      <c r="I615" t="s">
        <v>1304</v>
      </c>
      <c r="J615" t="s">
        <v>1305</v>
      </c>
    </row>
    <row r="616" spans="9:10" x14ac:dyDescent="0.3">
      <c r="I616" t="s">
        <v>1306</v>
      </c>
      <c r="J616" t="s">
        <v>1307</v>
      </c>
    </row>
    <row r="617" spans="9:10" x14ac:dyDescent="0.3">
      <c r="I617" t="s">
        <v>1308</v>
      </c>
      <c r="J617" t="s">
        <v>1309</v>
      </c>
    </row>
    <row r="618" spans="9:10" x14ac:dyDescent="0.3">
      <c r="I618" t="s">
        <v>1310</v>
      </c>
      <c r="J618" t="s">
        <v>1311</v>
      </c>
    </row>
    <row r="619" spans="9:10" x14ac:dyDescent="0.3">
      <c r="I619" t="s">
        <v>1312</v>
      </c>
      <c r="J619" t="s">
        <v>1313</v>
      </c>
    </row>
    <row r="620" spans="9:10" x14ac:dyDescent="0.3">
      <c r="I620" t="s">
        <v>1314</v>
      </c>
      <c r="J620" t="s">
        <v>1315</v>
      </c>
    </row>
    <row r="621" spans="9:10" x14ac:dyDescent="0.3">
      <c r="I621" t="s">
        <v>1316</v>
      </c>
      <c r="J621" t="s">
        <v>1317</v>
      </c>
    </row>
    <row r="622" spans="9:10" x14ac:dyDescent="0.3">
      <c r="I622" t="s">
        <v>1318</v>
      </c>
      <c r="J622" t="s">
        <v>1319</v>
      </c>
    </row>
    <row r="623" spans="9:10" x14ac:dyDescent="0.3">
      <c r="I623" t="s">
        <v>1320</v>
      </c>
      <c r="J623" t="s">
        <v>1321</v>
      </c>
    </row>
    <row r="624" spans="9:10" x14ac:dyDescent="0.3">
      <c r="I624" t="s">
        <v>1322</v>
      </c>
      <c r="J624" t="s">
        <v>1323</v>
      </c>
    </row>
    <row r="625" spans="9:10" x14ac:dyDescent="0.3">
      <c r="I625" t="s">
        <v>1324</v>
      </c>
      <c r="J625" t="s">
        <v>1325</v>
      </c>
    </row>
    <row r="626" spans="9:10" x14ac:dyDescent="0.3">
      <c r="I626" t="s">
        <v>1326</v>
      </c>
      <c r="J626" t="s">
        <v>1327</v>
      </c>
    </row>
    <row r="627" spans="9:10" x14ac:dyDescent="0.3">
      <c r="I627" t="s">
        <v>1328</v>
      </c>
      <c r="J627" t="s">
        <v>1329</v>
      </c>
    </row>
    <row r="628" spans="9:10" x14ac:dyDescent="0.3">
      <c r="I628" t="s">
        <v>1330</v>
      </c>
      <c r="J628" t="s">
        <v>1331</v>
      </c>
    </row>
    <row r="629" spans="9:10" x14ac:dyDescent="0.3">
      <c r="I629" t="s">
        <v>1332</v>
      </c>
      <c r="J629" t="s">
        <v>1333</v>
      </c>
    </row>
    <row r="630" spans="9:10" x14ac:dyDescent="0.3">
      <c r="I630" t="s">
        <v>1334</v>
      </c>
      <c r="J630" t="s">
        <v>1335</v>
      </c>
    </row>
    <row r="631" spans="9:10" x14ac:dyDescent="0.3">
      <c r="I631" t="s">
        <v>1336</v>
      </c>
      <c r="J631" t="s">
        <v>1337</v>
      </c>
    </row>
    <row r="632" spans="9:10" x14ac:dyDescent="0.3">
      <c r="I632" t="s">
        <v>1338</v>
      </c>
      <c r="J632" t="s">
        <v>1339</v>
      </c>
    </row>
    <row r="633" spans="9:10" x14ac:dyDescent="0.3">
      <c r="I633" t="s">
        <v>1340</v>
      </c>
      <c r="J633" t="s">
        <v>1341</v>
      </c>
    </row>
    <row r="634" spans="9:10" x14ac:dyDescent="0.3">
      <c r="I634" t="s">
        <v>1342</v>
      </c>
      <c r="J634" t="s">
        <v>1343</v>
      </c>
    </row>
    <row r="635" spans="9:10" x14ac:dyDescent="0.3">
      <c r="I635" t="s">
        <v>1344</v>
      </c>
      <c r="J635" t="s">
        <v>1345</v>
      </c>
    </row>
    <row r="636" spans="9:10" x14ac:dyDescent="0.3">
      <c r="I636" t="s">
        <v>1346</v>
      </c>
      <c r="J636" t="s">
        <v>1347</v>
      </c>
    </row>
    <row r="637" spans="9:10" x14ac:dyDescent="0.3">
      <c r="I637" t="s">
        <v>1348</v>
      </c>
      <c r="J637" t="s">
        <v>1349</v>
      </c>
    </row>
    <row r="638" spans="9:10" x14ac:dyDescent="0.3">
      <c r="I638" t="s">
        <v>1350</v>
      </c>
      <c r="J638" t="s">
        <v>1351</v>
      </c>
    </row>
    <row r="639" spans="9:10" x14ac:dyDescent="0.3">
      <c r="I639" t="s">
        <v>1352</v>
      </c>
      <c r="J639" t="s">
        <v>1353</v>
      </c>
    </row>
    <row r="640" spans="9:10" x14ac:dyDescent="0.3">
      <c r="I640" t="s">
        <v>1354</v>
      </c>
      <c r="J640" t="s">
        <v>1355</v>
      </c>
    </row>
    <row r="641" spans="9:10" x14ac:dyDescent="0.3">
      <c r="I641" t="s">
        <v>1356</v>
      </c>
      <c r="J641" t="s">
        <v>1357</v>
      </c>
    </row>
    <row r="642" spans="9:10" x14ac:dyDescent="0.3">
      <c r="I642" t="s">
        <v>1358</v>
      </c>
      <c r="J642" t="s">
        <v>1359</v>
      </c>
    </row>
    <row r="643" spans="9:10" x14ac:dyDescent="0.3">
      <c r="I643" t="s">
        <v>1360</v>
      </c>
      <c r="J643" t="s">
        <v>1361</v>
      </c>
    </row>
    <row r="644" spans="9:10" x14ac:dyDescent="0.3">
      <c r="I644" t="s">
        <v>1362</v>
      </c>
      <c r="J644" t="s">
        <v>1363</v>
      </c>
    </row>
    <row r="645" spans="9:10" x14ac:dyDescent="0.3">
      <c r="I645" t="s">
        <v>1364</v>
      </c>
      <c r="J645" t="s">
        <v>1365</v>
      </c>
    </row>
    <row r="646" spans="9:10" x14ac:dyDescent="0.3">
      <c r="I646" t="s">
        <v>1366</v>
      </c>
      <c r="J646" t="s">
        <v>1367</v>
      </c>
    </row>
    <row r="647" spans="9:10" x14ac:dyDescent="0.3">
      <c r="I647" t="s">
        <v>1368</v>
      </c>
      <c r="J647" t="s">
        <v>1369</v>
      </c>
    </row>
    <row r="648" spans="9:10" x14ac:dyDescent="0.3">
      <c r="I648" t="s">
        <v>1370</v>
      </c>
      <c r="J648" t="s">
        <v>1371</v>
      </c>
    </row>
    <row r="649" spans="9:10" x14ac:dyDescent="0.3">
      <c r="I649" t="s">
        <v>1372</v>
      </c>
      <c r="J649" t="s">
        <v>1373</v>
      </c>
    </row>
    <row r="650" spans="9:10" x14ac:dyDescent="0.3">
      <c r="I650" t="s">
        <v>1374</v>
      </c>
      <c r="J650" t="s">
        <v>1375</v>
      </c>
    </row>
    <row r="651" spans="9:10" x14ac:dyDescent="0.3">
      <c r="I651" t="s">
        <v>1376</v>
      </c>
      <c r="J651" t="s">
        <v>1377</v>
      </c>
    </row>
    <row r="652" spans="9:10" x14ac:dyDescent="0.3">
      <c r="I652" t="s">
        <v>1378</v>
      </c>
      <c r="J652" t="s">
        <v>1379</v>
      </c>
    </row>
    <row r="653" spans="9:10" x14ac:dyDescent="0.3">
      <c r="I653" t="s">
        <v>1380</v>
      </c>
      <c r="J653" t="s">
        <v>1381</v>
      </c>
    </row>
    <row r="654" spans="9:10" x14ac:dyDescent="0.3">
      <c r="I654" t="s">
        <v>1382</v>
      </c>
      <c r="J654" t="s">
        <v>1383</v>
      </c>
    </row>
    <row r="655" spans="9:10" x14ac:dyDescent="0.3">
      <c r="I655" t="s">
        <v>1384</v>
      </c>
      <c r="J655" t="s">
        <v>1385</v>
      </c>
    </row>
    <row r="656" spans="9:10" x14ac:dyDescent="0.3">
      <c r="I656" t="s">
        <v>1386</v>
      </c>
      <c r="J656" t="s">
        <v>1387</v>
      </c>
    </row>
    <row r="657" spans="9:10" x14ac:dyDescent="0.3">
      <c r="I657" t="s">
        <v>1388</v>
      </c>
      <c r="J657" t="s">
        <v>1389</v>
      </c>
    </row>
    <row r="658" spans="9:10" x14ac:dyDescent="0.3">
      <c r="I658" t="s">
        <v>1390</v>
      </c>
      <c r="J658" t="s">
        <v>1391</v>
      </c>
    </row>
    <row r="659" spans="9:10" x14ac:dyDescent="0.3">
      <c r="I659" t="s">
        <v>1392</v>
      </c>
      <c r="J659" t="s">
        <v>1393</v>
      </c>
    </row>
    <row r="660" spans="9:10" x14ac:dyDescent="0.3">
      <c r="I660" t="s">
        <v>1394</v>
      </c>
      <c r="J660" t="s">
        <v>1395</v>
      </c>
    </row>
    <row r="661" spans="9:10" x14ac:dyDescent="0.3">
      <c r="I661" t="s">
        <v>1396</v>
      </c>
      <c r="J661" t="s">
        <v>1397</v>
      </c>
    </row>
    <row r="662" spans="9:10" x14ac:dyDescent="0.3">
      <c r="I662" t="s">
        <v>1398</v>
      </c>
      <c r="J662" t="s">
        <v>1399</v>
      </c>
    </row>
    <row r="663" spans="9:10" x14ac:dyDescent="0.3">
      <c r="I663" t="s">
        <v>1400</v>
      </c>
      <c r="J663" t="s">
        <v>1401</v>
      </c>
    </row>
    <row r="664" spans="9:10" x14ac:dyDescent="0.3">
      <c r="I664" t="s">
        <v>1402</v>
      </c>
      <c r="J664" t="s">
        <v>1403</v>
      </c>
    </row>
    <row r="665" spans="9:10" x14ac:dyDescent="0.3">
      <c r="I665" t="s">
        <v>1404</v>
      </c>
      <c r="J665" t="s">
        <v>1405</v>
      </c>
    </row>
    <row r="666" spans="9:10" x14ac:dyDescent="0.3">
      <c r="I666" t="s">
        <v>1406</v>
      </c>
      <c r="J666" t="s">
        <v>1407</v>
      </c>
    </row>
    <row r="667" spans="9:10" x14ac:dyDescent="0.3">
      <c r="I667" t="s">
        <v>1408</v>
      </c>
      <c r="J667" t="s">
        <v>1409</v>
      </c>
    </row>
    <row r="668" spans="9:10" x14ac:dyDescent="0.3">
      <c r="I668" t="s">
        <v>1410</v>
      </c>
      <c r="J668" t="s">
        <v>1411</v>
      </c>
    </row>
    <row r="669" spans="9:10" x14ac:dyDescent="0.3">
      <c r="I669" t="s">
        <v>1412</v>
      </c>
      <c r="J669" t="s">
        <v>1413</v>
      </c>
    </row>
    <row r="670" spans="9:10" x14ac:dyDescent="0.3">
      <c r="I670" t="s">
        <v>1414</v>
      </c>
      <c r="J670" t="s">
        <v>1415</v>
      </c>
    </row>
    <row r="671" spans="9:10" x14ac:dyDescent="0.3">
      <c r="I671" t="s">
        <v>1416</v>
      </c>
      <c r="J671" t="s">
        <v>1417</v>
      </c>
    </row>
    <row r="672" spans="9:10" x14ac:dyDescent="0.3">
      <c r="I672" t="s">
        <v>1418</v>
      </c>
      <c r="J672" t="s">
        <v>1419</v>
      </c>
    </row>
    <row r="673" spans="9:10" x14ac:dyDescent="0.3">
      <c r="I673" t="s">
        <v>1420</v>
      </c>
      <c r="J673" t="s">
        <v>1421</v>
      </c>
    </row>
    <row r="674" spans="9:10" x14ac:dyDescent="0.3">
      <c r="I674" t="s">
        <v>1422</v>
      </c>
      <c r="J674" t="s">
        <v>1423</v>
      </c>
    </row>
    <row r="675" spans="9:10" x14ac:dyDescent="0.3">
      <c r="I675" t="s">
        <v>1424</v>
      </c>
      <c r="J675" t="s">
        <v>1425</v>
      </c>
    </row>
    <row r="676" spans="9:10" x14ac:dyDescent="0.3">
      <c r="I676" t="s">
        <v>1426</v>
      </c>
      <c r="J676" t="s">
        <v>1427</v>
      </c>
    </row>
    <row r="677" spans="9:10" x14ac:dyDescent="0.3">
      <c r="I677" t="s">
        <v>1428</v>
      </c>
      <c r="J677" t="s">
        <v>1429</v>
      </c>
    </row>
    <row r="678" spans="9:10" x14ac:dyDescent="0.3">
      <c r="I678" t="s">
        <v>1430</v>
      </c>
      <c r="J678" t="s">
        <v>1431</v>
      </c>
    </row>
    <row r="679" spans="9:10" x14ac:dyDescent="0.3">
      <c r="I679" t="s">
        <v>1432</v>
      </c>
      <c r="J679" t="s">
        <v>1433</v>
      </c>
    </row>
    <row r="680" spans="9:10" x14ac:dyDescent="0.3">
      <c r="I680" t="s">
        <v>1434</v>
      </c>
      <c r="J680" t="s">
        <v>1435</v>
      </c>
    </row>
    <row r="681" spans="9:10" x14ac:dyDescent="0.3">
      <c r="I681" t="s">
        <v>1436</v>
      </c>
      <c r="J681" t="s">
        <v>1437</v>
      </c>
    </row>
    <row r="682" spans="9:10" x14ac:dyDescent="0.3">
      <c r="I682" t="s">
        <v>1438</v>
      </c>
      <c r="J682" t="s">
        <v>1439</v>
      </c>
    </row>
    <row r="683" spans="9:10" x14ac:dyDescent="0.3">
      <c r="I683" t="s">
        <v>1440</v>
      </c>
      <c r="J683" t="s">
        <v>1441</v>
      </c>
    </row>
    <row r="684" spans="9:10" x14ac:dyDescent="0.3">
      <c r="I684" t="s">
        <v>1442</v>
      </c>
      <c r="J684" t="s">
        <v>1443</v>
      </c>
    </row>
    <row r="685" spans="9:10" x14ac:dyDescent="0.3">
      <c r="I685" t="s">
        <v>1444</v>
      </c>
      <c r="J685" t="s">
        <v>1445</v>
      </c>
    </row>
    <row r="686" spans="9:10" x14ac:dyDescent="0.3">
      <c r="I686" t="s">
        <v>1446</v>
      </c>
      <c r="J686" t="s">
        <v>1447</v>
      </c>
    </row>
    <row r="687" spans="9:10" x14ac:dyDescent="0.3">
      <c r="I687" t="s">
        <v>1448</v>
      </c>
      <c r="J687" t="s">
        <v>1449</v>
      </c>
    </row>
    <row r="688" spans="9:10" x14ac:dyDescent="0.3">
      <c r="I688" t="s">
        <v>1450</v>
      </c>
      <c r="J688" t="s">
        <v>1451</v>
      </c>
    </row>
    <row r="689" spans="9:10" x14ac:dyDescent="0.3">
      <c r="I689" t="s">
        <v>1452</v>
      </c>
      <c r="J689" t="s">
        <v>1453</v>
      </c>
    </row>
    <row r="690" spans="9:10" x14ac:dyDescent="0.3">
      <c r="I690" t="s">
        <v>1454</v>
      </c>
      <c r="J690" t="s">
        <v>1455</v>
      </c>
    </row>
    <row r="691" spans="9:10" x14ac:dyDescent="0.3">
      <c r="I691" t="s">
        <v>1456</v>
      </c>
      <c r="J691" t="s">
        <v>1457</v>
      </c>
    </row>
    <row r="692" spans="9:10" x14ac:dyDescent="0.3">
      <c r="I692" t="s">
        <v>1458</v>
      </c>
      <c r="J692" t="s">
        <v>1459</v>
      </c>
    </row>
    <row r="693" spans="9:10" x14ac:dyDescent="0.3">
      <c r="I693" t="s">
        <v>1460</v>
      </c>
      <c r="J693" t="s">
        <v>1461</v>
      </c>
    </row>
    <row r="694" spans="9:10" x14ac:dyDescent="0.3">
      <c r="I694" t="s">
        <v>1462</v>
      </c>
      <c r="J694" t="s">
        <v>1463</v>
      </c>
    </row>
    <row r="695" spans="9:10" x14ac:dyDescent="0.3">
      <c r="I695" t="s">
        <v>1464</v>
      </c>
      <c r="J695" t="s">
        <v>1465</v>
      </c>
    </row>
    <row r="696" spans="9:10" x14ac:dyDescent="0.3">
      <c r="I696" t="s">
        <v>1466</v>
      </c>
      <c r="J696" t="s">
        <v>1467</v>
      </c>
    </row>
    <row r="697" spans="9:10" x14ac:dyDescent="0.3">
      <c r="I697" t="s">
        <v>1468</v>
      </c>
      <c r="J697" t="s">
        <v>1469</v>
      </c>
    </row>
    <row r="698" spans="9:10" x14ac:dyDescent="0.3">
      <c r="I698" t="s">
        <v>1470</v>
      </c>
      <c r="J698" t="s">
        <v>1471</v>
      </c>
    </row>
    <row r="699" spans="9:10" x14ac:dyDescent="0.3">
      <c r="I699" t="s">
        <v>1472</v>
      </c>
      <c r="J699" t="s">
        <v>1473</v>
      </c>
    </row>
    <row r="700" spans="9:10" x14ac:dyDescent="0.3">
      <c r="I700" t="s">
        <v>1474</v>
      </c>
      <c r="J700" t="s">
        <v>1475</v>
      </c>
    </row>
    <row r="701" spans="9:10" x14ac:dyDescent="0.3">
      <c r="I701" t="s">
        <v>1476</v>
      </c>
      <c r="J701" t="s">
        <v>1477</v>
      </c>
    </row>
    <row r="702" spans="9:10" x14ac:dyDescent="0.3">
      <c r="I702" t="s">
        <v>1478</v>
      </c>
      <c r="J702" t="s">
        <v>1479</v>
      </c>
    </row>
    <row r="703" spans="9:10" x14ac:dyDescent="0.3">
      <c r="I703" t="s">
        <v>1480</v>
      </c>
      <c r="J703" t="s">
        <v>1481</v>
      </c>
    </row>
    <row r="704" spans="9:10" x14ac:dyDescent="0.3">
      <c r="I704" t="s">
        <v>1482</v>
      </c>
      <c r="J704" t="s">
        <v>1483</v>
      </c>
    </row>
    <row r="705" spans="9:10" x14ac:dyDescent="0.3">
      <c r="I705" t="s">
        <v>1484</v>
      </c>
      <c r="J705" t="s">
        <v>1485</v>
      </c>
    </row>
    <row r="706" spans="9:10" x14ac:dyDescent="0.3">
      <c r="I706" t="s">
        <v>1486</v>
      </c>
      <c r="J706" t="s">
        <v>1487</v>
      </c>
    </row>
    <row r="707" spans="9:10" x14ac:dyDescent="0.3">
      <c r="I707" t="s">
        <v>1488</v>
      </c>
      <c r="J707" t="s">
        <v>1489</v>
      </c>
    </row>
    <row r="708" spans="9:10" x14ac:dyDescent="0.3">
      <c r="I708" t="s">
        <v>1490</v>
      </c>
      <c r="J708" t="s">
        <v>1491</v>
      </c>
    </row>
    <row r="709" spans="9:10" x14ac:dyDescent="0.3">
      <c r="I709" t="s">
        <v>1492</v>
      </c>
      <c r="J709" t="s">
        <v>1493</v>
      </c>
    </row>
    <row r="710" spans="9:10" x14ac:dyDescent="0.3">
      <c r="I710" t="s">
        <v>1494</v>
      </c>
      <c r="J710" t="s">
        <v>1495</v>
      </c>
    </row>
    <row r="711" spans="9:10" x14ac:dyDescent="0.3">
      <c r="I711" t="s">
        <v>1496</v>
      </c>
      <c r="J711" t="s">
        <v>1497</v>
      </c>
    </row>
    <row r="712" spans="9:10" x14ac:dyDescent="0.3">
      <c r="I712" t="s">
        <v>1498</v>
      </c>
      <c r="J712" t="s">
        <v>1499</v>
      </c>
    </row>
    <row r="713" spans="9:10" x14ac:dyDescent="0.3">
      <c r="I713" t="s">
        <v>1500</v>
      </c>
      <c r="J713" t="s">
        <v>1501</v>
      </c>
    </row>
    <row r="714" spans="9:10" x14ac:dyDescent="0.3">
      <c r="I714" t="s">
        <v>1502</v>
      </c>
      <c r="J714" t="s">
        <v>1503</v>
      </c>
    </row>
    <row r="715" spans="9:10" x14ac:dyDescent="0.3">
      <c r="I715" t="s">
        <v>1504</v>
      </c>
      <c r="J715" t="s">
        <v>1505</v>
      </c>
    </row>
    <row r="716" spans="9:10" x14ac:dyDescent="0.3">
      <c r="I716" t="s">
        <v>1506</v>
      </c>
      <c r="J716" t="s">
        <v>1507</v>
      </c>
    </row>
    <row r="717" spans="9:10" x14ac:dyDescent="0.3">
      <c r="I717" t="s">
        <v>1508</v>
      </c>
      <c r="J717" t="s">
        <v>1509</v>
      </c>
    </row>
    <row r="718" spans="9:10" x14ac:dyDescent="0.3">
      <c r="I718" t="s">
        <v>1510</v>
      </c>
      <c r="J718" t="s">
        <v>1511</v>
      </c>
    </row>
    <row r="719" spans="9:10" x14ac:dyDescent="0.3">
      <c r="I719" t="s">
        <v>1512</v>
      </c>
      <c r="J719" t="s">
        <v>1513</v>
      </c>
    </row>
    <row r="720" spans="9:10" x14ac:dyDescent="0.3">
      <c r="I720" t="s">
        <v>1514</v>
      </c>
      <c r="J720" t="s">
        <v>1515</v>
      </c>
    </row>
    <row r="721" spans="9:10" x14ac:dyDescent="0.3">
      <c r="I721" t="s">
        <v>1516</v>
      </c>
      <c r="J721" t="s">
        <v>1517</v>
      </c>
    </row>
    <row r="722" spans="9:10" x14ac:dyDescent="0.3">
      <c r="I722" t="s">
        <v>1518</v>
      </c>
      <c r="J722" t="s">
        <v>1519</v>
      </c>
    </row>
    <row r="723" spans="9:10" x14ac:dyDescent="0.3">
      <c r="I723" t="s">
        <v>1520</v>
      </c>
      <c r="J723" t="s">
        <v>1521</v>
      </c>
    </row>
    <row r="724" spans="9:10" x14ac:dyDescent="0.3">
      <c r="I724" t="s">
        <v>1522</v>
      </c>
      <c r="J724" t="s">
        <v>1523</v>
      </c>
    </row>
    <row r="725" spans="9:10" x14ac:dyDescent="0.3">
      <c r="I725" t="s">
        <v>1524</v>
      </c>
      <c r="J725" t="s">
        <v>1525</v>
      </c>
    </row>
    <row r="726" spans="9:10" x14ac:dyDescent="0.3">
      <c r="I726" t="s">
        <v>1526</v>
      </c>
      <c r="J726" t="s">
        <v>1527</v>
      </c>
    </row>
    <row r="727" spans="9:10" x14ac:dyDescent="0.3">
      <c r="I727" t="s">
        <v>1528</v>
      </c>
      <c r="J727" t="s">
        <v>1529</v>
      </c>
    </row>
    <row r="728" spans="9:10" x14ac:dyDescent="0.3">
      <c r="I728" t="s">
        <v>1530</v>
      </c>
      <c r="J728" t="s">
        <v>1531</v>
      </c>
    </row>
    <row r="729" spans="9:10" x14ac:dyDescent="0.3">
      <c r="I729" t="s">
        <v>1532</v>
      </c>
      <c r="J729" t="s">
        <v>1533</v>
      </c>
    </row>
    <row r="730" spans="9:10" x14ac:dyDescent="0.3">
      <c r="I730" t="s">
        <v>1534</v>
      </c>
      <c r="J730" t="s">
        <v>1535</v>
      </c>
    </row>
    <row r="731" spans="9:10" x14ac:dyDescent="0.3">
      <c r="I731" t="s">
        <v>1536</v>
      </c>
      <c r="J731" t="s">
        <v>1537</v>
      </c>
    </row>
    <row r="732" spans="9:10" x14ac:dyDescent="0.3">
      <c r="I732" t="s">
        <v>1538</v>
      </c>
      <c r="J732" t="s">
        <v>1539</v>
      </c>
    </row>
    <row r="733" spans="9:10" x14ac:dyDescent="0.3">
      <c r="I733" t="s">
        <v>1540</v>
      </c>
      <c r="J733" t="s">
        <v>1541</v>
      </c>
    </row>
    <row r="734" spans="9:10" x14ac:dyDescent="0.3">
      <c r="I734" t="s">
        <v>1542</v>
      </c>
      <c r="J734" t="s">
        <v>1543</v>
      </c>
    </row>
    <row r="735" spans="9:10" x14ac:dyDescent="0.3">
      <c r="I735" t="s">
        <v>1544</v>
      </c>
      <c r="J735" t="s">
        <v>1545</v>
      </c>
    </row>
    <row r="736" spans="9:10" x14ac:dyDescent="0.3">
      <c r="I736" t="s">
        <v>1546</v>
      </c>
      <c r="J736" t="s">
        <v>1547</v>
      </c>
    </row>
    <row r="737" spans="9:10" x14ac:dyDescent="0.3">
      <c r="I737" t="s">
        <v>1548</v>
      </c>
      <c r="J737" t="s">
        <v>1549</v>
      </c>
    </row>
    <row r="738" spans="9:10" x14ac:dyDescent="0.3">
      <c r="I738" t="s">
        <v>1550</v>
      </c>
      <c r="J738" t="s">
        <v>1551</v>
      </c>
    </row>
    <row r="739" spans="9:10" x14ac:dyDescent="0.3">
      <c r="I739" t="s">
        <v>1552</v>
      </c>
      <c r="J739" t="s">
        <v>1553</v>
      </c>
    </row>
    <row r="740" spans="9:10" x14ac:dyDescent="0.3">
      <c r="I740" t="s">
        <v>1554</v>
      </c>
      <c r="J740" t="s">
        <v>1555</v>
      </c>
    </row>
    <row r="741" spans="9:10" x14ac:dyDescent="0.3">
      <c r="I741" t="s">
        <v>1556</v>
      </c>
      <c r="J741" t="s">
        <v>1557</v>
      </c>
    </row>
    <row r="742" spans="9:10" x14ac:dyDescent="0.3">
      <c r="I742" t="s">
        <v>1558</v>
      </c>
      <c r="J742" t="s">
        <v>1559</v>
      </c>
    </row>
    <row r="743" spans="9:10" x14ac:dyDescent="0.3">
      <c r="I743" t="s">
        <v>1560</v>
      </c>
      <c r="J743" t="s">
        <v>1561</v>
      </c>
    </row>
    <row r="744" spans="9:10" x14ac:dyDescent="0.3">
      <c r="I744" t="s">
        <v>1562</v>
      </c>
      <c r="J744" t="s">
        <v>1563</v>
      </c>
    </row>
    <row r="745" spans="9:10" x14ac:dyDescent="0.3">
      <c r="I745" t="s">
        <v>1564</v>
      </c>
      <c r="J745" t="s">
        <v>1565</v>
      </c>
    </row>
    <row r="746" spans="9:10" x14ac:dyDescent="0.3">
      <c r="I746" t="s">
        <v>1566</v>
      </c>
      <c r="J746" t="s">
        <v>1567</v>
      </c>
    </row>
    <row r="747" spans="9:10" x14ac:dyDescent="0.3">
      <c r="I747" t="s">
        <v>1568</v>
      </c>
      <c r="J747" t="s">
        <v>1569</v>
      </c>
    </row>
    <row r="748" spans="9:10" x14ac:dyDescent="0.3">
      <c r="I748" t="s">
        <v>1570</v>
      </c>
      <c r="J748" t="s">
        <v>1571</v>
      </c>
    </row>
    <row r="749" spans="9:10" x14ac:dyDescent="0.3">
      <c r="I749" t="s">
        <v>1572</v>
      </c>
      <c r="J749" t="s">
        <v>1573</v>
      </c>
    </row>
    <row r="750" spans="9:10" x14ac:dyDescent="0.3">
      <c r="I750" t="s">
        <v>1574</v>
      </c>
      <c r="J750" t="s">
        <v>1575</v>
      </c>
    </row>
    <row r="751" spans="9:10" x14ac:dyDescent="0.3">
      <c r="I751" t="s">
        <v>1576</v>
      </c>
      <c r="J751" t="s">
        <v>1577</v>
      </c>
    </row>
    <row r="752" spans="9:10" x14ac:dyDescent="0.3">
      <c r="I752" t="s">
        <v>1578</v>
      </c>
      <c r="J752" t="s">
        <v>1579</v>
      </c>
    </row>
    <row r="753" spans="9:10" x14ac:dyDescent="0.3">
      <c r="I753" t="s">
        <v>1580</v>
      </c>
      <c r="J753" t="s">
        <v>1581</v>
      </c>
    </row>
    <row r="754" spans="9:10" x14ac:dyDescent="0.3">
      <c r="I754" t="s">
        <v>1582</v>
      </c>
      <c r="J754" t="s">
        <v>1583</v>
      </c>
    </row>
    <row r="755" spans="9:10" x14ac:dyDescent="0.3">
      <c r="I755" t="s">
        <v>1584</v>
      </c>
      <c r="J755" t="s">
        <v>1585</v>
      </c>
    </row>
    <row r="756" spans="9:10" x14ac:dyDescent="0.3">
      <c r="I756" t="s">
        <v>1586</v>
      </c>
      <c r="J756" t="s">
        <v>1587</v>
      </c>
    </row>
    <row r="757" spans="9:10" x14ac:dyDescent="0.3">
      <c r="I757" t="s">
        <v>1588</v>
      </c>
      <c r="J757" t="s">
        <v>1589</v>
      </c>
    </row>
    <row r="758" spans="9:10" x14ac:dyDescent="0.3">
      <c r="I758" t="s">
        <v>1590</v>
      </c>
      <c r="J758" t="s">
        <v>1591</v>
      </c>
    </row>
    <row r="759" spans="9:10" x14ac:dyDescent="0.3">
      <c r="I759" t="s">
        <v>1592</v>
      </c>
      <c r="J759" t="s">
        <v>1593</v>
      </c>
    </row>
    <row r="760" spans="9:10" x14ac:dyDescent="0.3">
      <c r="I760" t="s">
        <v>1594</v>
      </c>
      <c r="J760" t="s">
        <v>1595</v>
      </c>
    </row>
    <row r="761" spans="9:10" x14ac:dyDescent="0.3">
      <c r="I761" t="s">
        <v>1596</v>
      </c>
      <c r="J761" t="s">
        <v>1597</v>
      </c>
    </row>
    <row r="762" spans="9:10" x14ac:dyDescent="0.3">
      <c r="I762" t="s">
        <v>1598</v>
      </c>
      <c r="J762" t="s">
        <v>1599</v>
      </c>
    </row>
    <row r="763" spans="9:10" x14ac:dyDescent="0.3">
      <c r="I763" t="s">
        <v>1600</v>
      </c>
      <c r="J763" t="s">
        <v>1601</v>
      </c>
    </row>
    <row r="764" spans="9:10" x14ac:dyDescent="0.3">
      <c r="I764" t="s">
        <v>1602</v>
      </c>
      <c r="J764" t="s">
        <v>1603</v>
      </c>
    </row>
    <row r="765" spans="9:10" x14ac:dyDescent="0.3">
      <c r="I765" t="s">
        <v>1604</v>
      </c>
      <c r="J765" t="s">
        <v>1605</v>
      </c>
    </row>
    <row r="766" spans="9:10" x14ac:dyDescent="0.3">
      <c r="I766" t="s">
        <v>1606</v>
      </c>
      <c r="J766" t="s">
        <v>1607</v>
      </c>
    </row>
    <row r="767" spans="9:10" x14ac:dyDescent="0.3">
      <c r="I767" t="s">
        <v>1608</v>
      </c>
      <c r="J767" t="s">
        <v>1609</v>
      </c>
    </row>
    <row r="768" spans="9:10" x14ac:dyDescent="0.3">
      <c r="I768" t="s">
        <v>1610</v>
      </c>
      <c r="J768" t="s">
        <v>1611</v>
      </c>
    </row>
    <row r="769" spans="9:10" x14ac:dyDescent="0.3">
      <c r="I769" t="s">
        <v>1612</v>
      </c>
      <c r="J769" t="s">
        <v>1613</v>
      </c>
    </row>
    <row r="770" spans="9:10" x14ac:dyDescent="0.3">
      <c r="I770" t="s">
        <v>1614</v>
      </c>
      <c r="J770" t="s">
        <v>1615</v>
      </c>
    </row>
    <row r="771" spans="9:10" x14ac:dyDescent="0.3">
      <c r="I771" t="s">
        <v>1616</v>
      </c>
      <c r="J771" t="s">
        <v>1617</v>
      </c>
    </row>
    <row r="772" spans="9:10" x14ac:dyDescent="0.3">
      <c r="I772" t="s">
        <v>1618</v>
      </c>
      <c r="J772" t="s">
        <v>1619</v>
      </c>
    </row>
    <row r="773" spans="9:10" x14ac:dyDescent="0.3">
      <c r="I773" t="s">
        <v>1620</v>
      </c>
      <c r="J773" t="s">
        <v>1621</v>
      </c>
    </row>
    <row r="774" spans="9:10" x14ac:dyDescent="0.3">
      <c r="I774" t="s">
        <v>1622</v>
      </c>
      <c r="J774" t="s">
        <v>1623</v>
      </c>
    </row>
    <row r="775" spans="9:10" x14ac:dyDescent="0.3">
      <c r="I775" t="s">
        <v>1624</v>
      </c>
      <c r="J775" t="s">
        <v>1625</v>
      </c>
    </row>
    <row r="776" spans="9:10" x14ac:dyDescent="0.3">
      <c r="I776" t="s">
        <v>1626</v>
      </c>
      <c r="J776" t="s">
        <v>1627</v>
      </c>
    </row>
    <row r="777" spans="9:10" x14ac:dyDescent="0.3">
      <c r="I777" t="s">
        <v>1628</v>
      </c>
      <c r="J777" t="s">
        <v>1629</v>
      </c>
    </row>
    <row r="778" spans="9:10" x14ac:dyDescent="0.3">
      <c r="I778" t="s">
        <v>1630</v>
      </c>
      <c r="J778" t="s">
        <v>1631</v>
      </c>
    </row>
    <row r="779" spans="9:10" x14ac:dyDescent="0.3">
      <c r="I779" t="s">
        <v>1632</v>
      </c>
      <c r="J779" t="s">
        <v>1633</v>
      </c>
    </row>
    <row r="780" spans="9:10" x14ac:dyDescent="0.3">
      <c r="I780" t="s">
        <v>1634</v>
      </c>
      <c r="J780" t="s">
        <v>1635</v>
      </c>
    </row>
    <row r="781" spans="9:10" x14ac:dyDescent="0.3">
      <c r="I781" t="s">
        <v>1636</v>
      </c>
      <c r="J781" t="s">
        <v>1637</v>
      </c>
    </row>
    <row r="782" spans="9:10" x14ac:dyDescent="0.3">
      <c r="I782" t="s">
        <v>1638</v>
      </c>
      <c r="J782" t="s">
        <v>1639</v>
      </c>
    </row>
    <row r="783" spans="9:10" x14ac:dyDescent="0.3">
      <c r="I783" t="s">
        <v>1640</v>
      </c>
      <c r="J783" t="s">
        <v>1641</v>
      </c>
    </row>
    <row r="784" spans="9:10" x14ac:dyDescent="0.3">
      <c r="I784" t="s">
        <v>1642</v>
      </c>
      <c r="J784" t="s">
        <v>1643</v>
      </c>
    </row>
    <row r="785" spans="9:10" x14ac:dyDescent="0.3">
      <c r="I785" t="s">
        <v>1644</v>
      </c>
      <c r="J785" t="s">
        <v>1645</v>
      </c>
    </row>
    <row r="786" spans="9:10" x14ac:dyDescent="0.3">
      <c r="I786" t="s">
        <v>1646</v>
      </c>
      <c r="J786" t="s">
        <v>1647</v>
      </c>
    </row>
    <row r="787" spans="9:10" x14ac:dyDescent="0.3">
      <c r="I787" t="s">
        <v>1648</v>
      </c>
      <c r="J787" t="s">
        <v>405</v>
      </c>
    </row>
    <row r="788" spans="9:10" x14ac:dyDescent="0.3">
      <c r="I788" t="s">
        <v>1649</v>
      </c>
      <c r="J788" t="s">
        <v>405</v>
      </c>
    </row>
    <row r="789" spans="9:10" x14ac:dyDescent="0.3">
      <c r="I789" t="s">
        <v>1650</v>
      </c>
      <c r="J789" t="s">
        <v>1651</v>
      </c>
    </row>
    <row r="790" spans="9:10" x14ac:dyDescent="0.3">
      <c r="I790" t="s">
        <v>1652</v>
      </c>
      <c r="J790" t="s">
        <v>1653</v>
      </c>
    </row>
    <row r="791" spans="9:10" x14ac:dyDescent="0.3">
      <c r="I791" t="s">
        <v>1654</v>
      </c>
      <c r="J791" t="s">
        <v>1655</v>
      </c>
    </row>
    <row r="792" spans="9:10" x14ac:dyDescent="0.3">
      <c r="I792" t="s">
        <v>1656</v>
      </c>
      <c r="J792" t="s">
        <v>1657</v>
      </c>
    </row>
    <row r="793" spans="9:10" x14ac:dyDescent="0.3">
      <c r="I793" t="s">
        <v>1658</v>
      </c>
      <c r="J793" t="s">
        <v>1659</v>
      </c>
    </row>
    <row r="794" spans="9:10" x14ac:dyDescent="0.3">
      <c r="I794" t="s">
        <v>1660</v>
      </c>
      <c r="J794" t="s">
        <v>1661</v>
      </c>
    </row>
    <row r="795" spans="9:10" x14ac:dyDescent="0.3">
      <c r="I795" t="s">
        <v>1662</v>
      </c>
      <c r="J795" t="s">
        <v>1663</v>
      </c>
    </row>
    <row r="796" spans="9:10" x14ac:dyDescent="0.3">
      <c r="I796" t="s">
        <v>1664</v>
      </c>
      <c r="J796" t="s">
        <v>1665</v>
      </c>
    </row>
    <row r="797" spans="9:10" x14ac:dyDescent="0.3">
      <c r="I797" t="s">
        <v>1666</v>
      </c>
      <c r="J797" t="s">
        <v>1667</v>
      </c>
    </row>
    <row r="798" spans="9:10" x14ac:dyDescent="0.3">
      <c r="I798" t="s">
        <v>1668</v>
      </c>
      <c r="J798" t="s">
        <v>1669</v>
      </c>
    </row>
    <row r="799" spans="9:10" x14ac:dyDescent="0.3">
      <c r="I799" t="s">
        <v>1670</v>
      </c>
      <c r="J799" t="s">
        <v>1671</v>
      </c>
    </row>
    <row r="800" spans="9:10" x14ac:dyDescent="0.3">
      <c r="I800" t="s">
        <v>1672</v>
      </c>
      <c r="J800" t="s">
        <v>1673</v>
      </c>
    </row>
    <row r="801" spans="9:10" x14ac:dyDescent="0.3">
      <c r="I801" t="s">
        <v>1674</v>
      </c>
      <c r="J801" t="s">
        <v>1675</v>
      </c>
    </row>
    <row r="802" spans="9:10" x14ac:dyDescent="0.3">
      <c r="I802" t="s">
        <v>1676</v>
      </c>
      <c r="J802" t="s">
        <v>1677</v>
      </c>
    </row>
    <row r="803" spans="9:10" x14ac:dyDescent="0.3">
      <c r="I803" t="s">
        <v>1678</v>
      </c>
      <c r="J803" t="s">
        <v>1679</v>
      </c>
    </row>
    <row r="804" spans="9:10" x14ac:dyDescent="0.3">
      <c r="I804" t="s">
        <v>1680</v>
      </c>
      <c r="J804" t="s">
        <v>1681</v>
      </c>
    </row>
    <row r="805" spans="9:10" x14ac:dyDescent="0.3">
      <c r="I805" t="s">
        <v>1682</v>
      </c>
      <c r="J805" t="s">
        <v>1683</v>
      </c>
    </row>
    <row r="806" spans="9:10" x14ac:dyDescent="0.3">
      <c r="I806" t="s">
        <v>1684</v>
      </c>
      <c r="J806" t="s">
        <v>1685</v>
      </c>
    </row>
    <row r="807" spans="9:10" x14ac:dyDescent="0.3">
      <c r="I807" t="s">
        <v>1686</v>
      </c>
      <c r="J807" t="s">
        <v>1687</v>
      </c>
    </row>
    <row r="808" spans="9:10" x14ac:dyDescent="0.3">
      <c r="I808" t="s">
        <v>1688</v>
      </c>
      <c r="J808" t="s">
        <v>1689</v>
      </c>
    </row>
    <row r="809" spans="9:10" x14ac:dyDescent="0.3">
      <c r="I809" t="s">
        <v>1690</v>
      </c>
      <c r="J809" t="s">
        <v>1691</v>
      </c>
    </row>
    <row r="810" spans="9:10" x14ac:dyDescent="0.3">
      <c r="I810" t="s">
        <v>1692</v>
      </c>
      <c r="J810" t="s">
        <v>1693</v>
      </c>
    </row>
    <row r="811" spans="9:10" x14ac:dyDescent="0.3">
      <c r="I811" t="s">
        <v>1694</v>
      </c>
      <c r="J811" t="s">
        <v>1695</v>
      </c>
    </row>
    <row r="812" spans="9:10" x14ac:dyDescent="0.3">
      <c r="I812" t="s">
        <v>1696</v>
      </c>
      <c r="J812" t="s">
        <v>1697</v>
      </c>
    </row>
    <row r="813" spans="9:10" x14ac:dyDescent="0.3">
      <c r="I813" t="s">
        <v>1698</v>
      </c>
      <c r="J813" t="s">
        <v>1699</v>
      </c>
    </row>
    <row r="814" spans="9:10" x14ac:dyDescent="0.3">
      <c r="I814" t="s">
        <v>1700</v>
      </c>
      <c r="J814" t="s">
        <v>1701</v>
      </c>
    </row>
    <row r="815" spans="9:10" x14ac:dyDescent="0.3">
      <c r="I815" t="s">
        <v>1702</v>
      </c>
      <c r="J815" t="s">
        <v>1703</v>
      </c>
    </row>
    <row r="816" spans="9:10" x14ac:dyDescent="0.3">
      <c r="I816" t="s">
        <v>1704</v>
      </c>
      <c r="J816" t="s">
        <v>1705</v>
      </c>
    </row>
    <row r="817" spans="9:10" x14ac:dyDescent="0.3">
      <c r="I817" t="s">
        <v>1706</v>
      </c>
      <c r="J817" t="s">
        <v>1707</v>
      </c>
    </row>
    <row r="818" spans="9:10" x14ac:dyDescent="0.3">
      <c r="I818" t="s">
        <v>1708</v>
      </c>
      <c r="J818" t="s">
        <v>1709</v>
      </c>
    </row>
    <row r="819" spans="9:10" x14ac:dyDescent="0.3">
      <c r="I819" t="s">
        <v>1710</v>
      </c>
      <c r="J819" t="s">
        <v>1711</v>
      </c>
    </row>
    <row r="820" spans="9:10" x14ac:dyDescent="0.3">
      <c r="I820" t="s">
        <v>1712</v>
      </c>
      <c r="J820" t="s">
        <v>1713</v>
      </c>
    </row>
    <row r="821" spans="9:10" x14ac:dyDescent="0.3">
      <c r="I821" t="s">
        <v>1714</v>
      </c>
      <c r="J821" t="s">
        <v>1715</v>
      </c>
    </row>
    <row r="822" spans="9:10" x14ac:dyDescent="0.3">
      <c r="I822" t="s">
        <v>1716</v>
      </c>
      <c r="J822" t="s">
        <v>1717</v>
      </c>
    </row>
    <row r="823" spans="9:10" x14ac:dyDescent="0.3">
      <c r="I823" t="s">
        <v>1718</v>
      </c>
      <c r="J823" t="s">
        <v>1719</v>
      </c>
    </row>
    <row r="824" spans="9:10" x14ac:dyDescent="0.3">
      <c r="I824" t="s">
        <v>1720</v>
      </c>
      <c r="J824" t="s">
        <v>1721</v>
      </c>
    </row>
    <row r="825" spans="9:10" x14ac:dyDescent="0.3">
      <c r="I825" t="s">
        <v>1722</v>
      </c>
      <c r="J825" t="s">
        <v>1723</v>
      </c>
    </row>
    <row r="826" spans="9:10" x14ac:dyDescent="0.3">
      <c r="I826" t="s">
        <v>158</v>
      </c>
      <c r="J826" t="s">
        <v>1724</v>
      </c>
    </row>
    <row r="827" spans="9:10" x14ac:dyDescent="0.3">
      <c r="I827" t="s">
        <v>1725</v>
      </c>
      <c r="J827" t="s">
        <v>1726</v>
      </c>
    </row>
    <row r="828" spans="9:10" x14ac:dyDescent="0.3">
      <c r="I828" t="s">
        <v>1727</v>
      </c>
      <c r="J828" t="s">
        <v>1728</v>
      </c>
    </row>
    <row r="829" spans="9:10" x14ac:dyDescent="0.3">
      <c r="I829" t="s">
        <v>160</v>
      </c>
      <c r="J829" t="s">
        <v>163</v>
      </c>
    </row>
    <row r="830" spans="9:10" x14ac:dyDescent="0.3">
      <c r="I830" t="s">
        <v>1729</v>
      </c>
      <c r="J830" t="s">
        <v>1730</v>
      </c>
    </row>
    <row r="831" spans="9:10" x14ac:dyDescent="0.3">
      <c r="I831" t="s">
        <v>1731</v>
      </c>
      <c r="J831" t="s">
        <v>1732</v>
      </c>
    </row>
    <row r="832" spans="9:10" x14ac:dyDescent="0.3">
      <c r="I832" t="s">
        <v>162</v>
      </c>
      <c r="J832" t="s">
        <v>159</v>
      </c>
    </row>
    <row r="833" spans="9:10" x14ac:dyDescent="0.3">
      <c r="I833" t="s">
        <v>1733</v>
      </c>
      <c r="J833" t="s">
        <v>1734</v>
      </c>
    </row>
    <row r="834" spans="9:10" x14ac:dyDescent="0.3">
      <c r="I834" t="s">
        <v>1735</v>
      </c>
      <c r="J834" t="s">
        <v>1736</v>
      </c>
    </row>
    <row r="835" spans="9:10" x14ac:dyDescent="0.3">
      <c r="I835" t="s">
        <v>1737</v>
      </c>
      <c r="J835" t="s">
        <v>1738</v>
      </c>
    </row>
    <row r="836" spans="9:10" x14ac:dyDescent="0.3">
      <c r="I836" t="s">
        <v>1739</v>
      </c>
      <c r="J836" t="s">
        <v>1740</v>
      </c>
    </row>
    <row r="837" spans="9:10" x14ac:dyDescent="0.3">
      <c r="I837" t="s">
        <v>1741</v>
      </c>
      <c r="J837" t="s">
        <v>1742</v>
      </c>
    </row>
  </sheetData>
  <sheetProtection password="8191" sheet="1" objects="1" scenarios="1"/>
  <mergeCells count="1">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Z70"/>
  <sheetViews>
    <sheetView topLeftCell="B31" zoomScaleNormal="100"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SUM(Formal_Jan_SubTotal+Informal_Jan_SubTotal+Friends_family_Jan_SubTotal)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Formal_Jan_SubTotal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Total_Income_Actual_Jan</f>
        <v>0</v>
      </c>
      <c r="C30" s="5"/>
      <c r="D30" s="5"/>
      <c r="E30" s="5"/>
      <c r="F30" s="5"/>
      <c r="G30" s="5"/>
      <c r="H30" s="5"/>
      <c r="I30" s="5"/>
      <c r="J30" s="5"/>
      <c r="K30" s="5"/>
      <c r="L30" s="126" t="str">
        <f>L42</f>
        <v>Goals</v>
      </c>
      <c r="M30" s="5"/>
      <c r="N30" s="126">
        <f>N42</f>
        <v>0</v>
      </c>
      <c r="O30" s="5"/>
      <c r="P30" s="121">
        <f>Informal_Jan_SubTotal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137" t="s">
        <v>1743</v>
      </c>
      <c r="E32" s="5"/>
      <c r="F32" s="5"/>
      <c r="G32" s="122">
        <f>Total_Expenses_Jan</f>
        <v>0</v>
      </c>
      <c r="H32" s="5"/>
      <c r="I32" s="5"/>
      <c r="J32" s="5"/>
      <c r="K32" s="5"/>
      <c r="L32" s="123" t="str">
        <f>L47</f>
        <v>Savings and Investments</v>
      </c>
      <c r="M32" s="125"/>
      <c r="N32" s="124">
        <f>N47</f>
        <v>0</v>
      </c>
      <c r="O32" s="5"/>
      <c r="P32" s="132">
        <f>Friends_family_Jan_SubTotal</f>
        <v>0</v>
      </c>
      <c r="Q32" s="5"/>
      <c r="R32" s="1"/>
    </row>
    <row r="33" spans="1:26" ht="15.75" x14ac:dyDescent="0.3">
      <c r="A33" s="1"/>
      <c r="B33" s="119">
        <f>(Total_Income_Actual_Jan-Total_Expenses_Jan)</f>
        <v>0</v>
      </c>
      <c r="C33" s="5"/>
      <c r="D33" s="261">
        <f>Y48</f>
        <v>0</v>
      </c>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0"/>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6"/>
      <c r="Z41" s="116"/>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IFERROR(SUM(Goals_JanSavings),"")</f>
        <v>0</v>
      </c>
      <c r="O42" s="113" t="str">
        <f>IFERROR(SUM(Over_under_Goals_Jan),"")</f>
        <v/>
      </c>
      <c r="P42" s="133"/>
      <c r="Q42" s="133"/>
      <c r="R42" s="1"/>
      <c r="T42" s="115"/>
      <c r="U42" s="209" t="s">
        <v>368</v>
      </c>
      <c r="V42" s="210" t="e">
        <f>$Y$49</f>
        <v>#DIV/0!</v>
      </c>
      <c r="W42" s="210">
        <v>0.01</v>
      </c>
      <c r="X42" s="211" t="e">
        <f>150%-SUM(V42:W42)</f>
        <v>#DIV/0!</v>
      </c>
      <c r="Y42" s="116"/>
      <c r="Z42" s="116"/>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Savings_Goal_MonthlySavings_Jan_1</f>
        <v>0</v>
      </c>
      <c r="O43" s="146" t="e">
        <f>(Savings_Goal_MonthlySavings_Jan_1+Savings_Goal_MinSavings_1)</f>
        <v>#VALUE!</v>
      </c>
      <c r="P43" s="133"/>
      <c r="Q43" s="133"/>
      <c r="R43" s="1"/>
      <c r="T43" s="115"/>
      <c r="U43" s="209"/>
      <c r="V43" s="209"/>
      <c r="W43" s="209"/>
      <c r="X43" s="209"/>
      <c r="Y43" s="116"/>
      <c r="Z43" s="116"/>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Savings_Goal_MonthlySavings_Jan_2</f>
        <v>0</v>
      </c>
      <c r="O44" s="146" t="e">
        <f>(Savings_Goal_MonthlySavings_Jan_2+Savings_Goal_MinSavings_2)</f>
        <v>#VALUE!</v>
      </c>
      <c r="P44" s="133"/>
      <c r="Q44" s="133"/>
      <c r="R44" s="1"/>
      <c r="T44" s="115"/>
      <c r="U44" s="115" t="s">
        <v>373</v>
      </c>
      <c r="V44" s="115" t="s">
        <v>370</v>
      </c>
      <c r="W44" s="212">
        <v>0.35</v>
      </c>
      <c r="X44" s="209"/>
      <c r="Y44" s="116"/>
      <c r="Z44" s="116"/>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Savings_Goal_MonthlySavings_Jan_3</f>
        <v>0</v>
      </c>
      <c r="O45" s="146" t="e">
        <f>(Savings_Goal_MonthlySavings_Jan_3+Savings_Goal_MinSavings_3)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Savings_Goal_MonthlySavings_Jan_4</f>
        <v>0</v>
      </c>
      <c r="O46" s="146" t="e">
        <f>(Savings_Goal_MonthlySavings_Jan_4+Savings_Goal_MinSavings_4)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IFERROR(SUM(SavingsInvestments_JanSavings),"")</f>
        <v>0</v>
      </c>
      <c r="O47" s="114" t="str">
        <f>IFERROR(SUM(Over_Under_Savings_jan),"")</f>
        <v/>
      </c>
      <c r="P47" s="133"/>
      <c r="Q47" s="133"/>
      <c r="R47" s="1"/>
      <c r="T47" s="115"/>
      <c r="U47" s="115" t="s">
        <v>375</v>
      </c>
      <c r="V47" s="209"/>
      <c r="W47" s="212">
        <v>0.5</v>
      </c>
      <c r="X47" s="209"/>
      <c r="Y47" s="213">
        <f>SUM(Total_Expenses_Jan+Formal_Jan_SubTotal+Informal_Jan_SubTotal+Friends_family_Jan_SubTotal+Goals_Jan_SubTotal+SavingsInvestments_Jan_SubTotal)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Savings_Investments_MonthlySavings_Jan_1</f>
        <v>0</v>
      </c>
      <c r="O48" s="146" t="e">
        <f>(Savings_Investments_MinSavings_1+Savings_Investments_MonthlySavings_Jan_1)</f>
        <v>#VALUE!</v>
      </c>
      <c r="P48" s="133"/>
      <c r="Q48" s="133"/>
      <c r="R48" s="1"/>
      <c r="T48" s="115"/>
      <c r="U48" s="209"/>
      <c r="V48" s="209"/>
      <c r="W48" s="209"/>
      <c r="X48" s="209"/>
      <c r="Y48" s="214">
        <f>(Total_Income_Actual_Jan-TOTAL_DEDUCTIONS)</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Savings_Investments_MonthlySavings_Jan_2</f>
        <v>0</v>
      </c>
      <c r="O49" s="146" t="e">
        <f>(Savings_Investments_MinSavings_2+Savings_Investments_MonthlySavings_Jan_2)</f>
        <v>#VALUE!</v>
      </c>
      <c r="P49" s="133"/>
      <c r="Q49" s="133"/>
      <c r="R49" s="1"/>
      <c r="T49" s="115"/>
      <c r="U49" s="209"/>
      <c r="V49" s="209"/>
      <c r="W49" s="209"/>
      <c r="X49" s="209"/>
      <c r="Y49" s="212" t="e">
        <f>(TOTAL_DEDUCTIONS/Total_Income_Actual_Jan)</f>
        <v>#DIV/0!</v>
      </c>
      <c r="Z49" s="115"/>
    </row>
    <row r="50" spans="1:26" ht="16.5" thickBot="1" x14ac:dyDescent="0.35">
      <c r="A50" s="1"/>
      <c r="B50" s="149" t="s">
        <v>28</v>
      </c>
      <c r="C50" s="150">
        <f>IFERROR(SUM(Budgeted_Income_Jan),"")</f>
        <v>0</v>
      </c>
      <c r="D50" s="151">
        <f>IFERROR(SUM(Actual_Income_Jan),"")</f>
        <v>0</v>
      </c>
      <c r="E50" s="150">
        <f>IFERROR(SUM(Over_under_income_Jan),"")</f>
        <v>0</v>
      </c>
      <c r="F50" s="141"/>
      <c r="G50" s="142" t="s">
        <v>17</v>
      </c>
      <c r="H50" s="143">
        <v>0</v>
      </c>
      <c r="I50" s="143">
        <v>0</v>
      </c>
      <c r="J50" s="144">
        <f t="shared" si="0"/>
        <v>0</v>
      </c>
      <c r="K50" s="141"/>
      <c r="L50" s="148">
        <f>Savings_Investments_3</f>
        <v>0</v>
      </c>
      <c r="M50" s="146" t="e">
        <f>-Savings_Investments_MinSavings_3</f>
        <v>#VALUE!</v>
      </c>
      <c r="N50" s="110">
        <f>Savings_Investments_MonthlySavings_Jan_3</f>
        <v>0</v>
      </c>
      <c r="O50" s="146" t="e">
        <f>(Savings_Investments_MinSavings_3+Savings_Investments_MonthlySavings_Jan_3)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Savings_Investments_MonthlySavings_Jan_4</f>
        <v>0</v>
      </c>
      <c r="O51" s="146" t="e">
        <f>(Savings_Investments_MinSavings_4+Savings_Investments_MonthlySavings_Jan_4)</f>
        <v>#VALUE!</v>
      </c>
      <c r="P51" s="133"/>
      <c r="Q51" s="133"/>
      <c r="R51" s="1"/>
      <c r="T51" s="115"/>
      <c r="U51" s="218" t="str">
        <f>monthlyExpense_Jan9_Name</f>
        <v>Rental</v>
      </c>
      <c r="V51" s="219">
        <f>IFERROR(Expense9_BudgetJan,"")</f>
        <v>0</v>
      </c>
      <c r="W51" s="219">
        <f>IFERROR(Expense9_ActualJan,"")</f>
        <v>0</v>
      </c>
      <c r="X51" s="220">
        <f>MAX(Expense9_ActualJan-Expense9_BudgetJan,0)</f>
        <v>0</v>
      </c>
      <c r="Y51" s="214">
        <f>MAX(Expense9_BudgetJan-Expense9_ActualJan,0)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monthlyExpense_Jan4_Name</f>
        <v xml:space="preserve">Entertainment </v>
      </c>
      <c r="V52" s="219">
        <f>IFERROR(Expense4_BudgetJan,"")</f>
        <v>0</v>
      </c>
      <c r="W52" s="219">
        <f>IFERROR(Expense4_ActualJan,"")</f>
        <v>0</v>
      </c>
      <c r="X52" s="220">
        <f>MAX(Expense4_ActualJan-Expense4_BudgetJan,0)</f>
        <v>0</v>
      </c>
      <c r="Y52" s="214">
        <f>MAX(Expense4_BudgetJan-Expense4_ActualJan,0)</f>
        <v>0</v>
      </c>
      <c r="Z52" s="115"/>
    </row>
    <row r="53" spans="1:26" ht="16.5" thickBot="1" x14ac:dyDescent="0.35">
      <c r="A53" s="1"/>
      <c r="B53" s="152"/>
      <c r="C53" s="152"/>
      <c r="D53" s="152"/>
      <c r="E53" s="152"/>
      <c r="F53" s="152"/>
      <c r="G53" s="154" t="s">
        <v>28</v>
      </c>
      <c r="H53" s="155">
        <f>SUM(Budgeted_Expenses_Jan)</f>
        <v>0</v>
      </c>
      <c r="I53" s="156">
        <f>SUM(Actual_Expenses_Jan)</f>
        <v>0</v>
      </c>
      <c r="J53" s="150">
        <f>SUM(Over_under_expenses_Jan)</f>
        <v>0</v>
      </c>
      <c r="K53" s="152"/>
      <c r="L53" s="152"/>
      <c r="M53" s="152"/>
      <c r="N53" s="152"/>
      <c r="O53" s="152"/>
      <c r="P53" s="133"/>
      <c r="Q53" s="133"/>
      <c r="R53" s="1"/>
      <c r="T53" s="115"/>
      <c r="U53" s="218" t="str">
        <f>monthlyExpense_Jan5_Name</f>
        <v>Black Tax</v>
      </c>
      <c r="V53" s="219">
        <f>IFERROR(Expense5_BudgetJan,"")</f>
        <v>0</v>
      </c>
      <c r="W53" s="219">
        <f>IFERROR(Expense5_ActualJan,"")</f>
        <v>0</v>
      </c>
      <c r="X53" s="220">
        <f>MAX(Expense5_ActualJan-Expense5_BudgetJan,0)</f>
        <v>0</v>
      </c>
      <c r="Y53" s="214">
        <f>MAX(Expense5_BudgetJan-Expense5_ActualJan,0)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monthlyExpense_Jan1_Name</f>
        <v>Airtime/Data</v>
      </c>
      <c r="V54" s="219">
        <f>IFERROR(Expense1_BudgetJan,"")</f>
        <v>0</v>
      </c>
      <c r="W54" s="219">
        <f>IFERROR(Expense1_ActualJan,"")</f>
        <v>0</v>
      </c>
      <c r="X54" s="220">
        <f>MAX(Expense1_ActualJan-Expense1_BudgetJan,0)</f>
        <v>0</v>
      </c>
      <c r="Y54" s="214">
        <f>MAX(Expense1_BudgetJan-Expense1_ActualJan,0)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monthlyExpense_Jan2_Name</f>
        <v>Bank charges</v>
      </c>
      <c r="V55" s="219">
        <f>IFERROR(Expense2_BudgetJan,"")</f>
        <v>0</v>
      </c>
      <c r="W55" s="219">
        <f>IFERROR(Expense2_ActualJan,"")</f>
        <v>0</v>
      </c>
      <c r="X55" s="220">
        <f>MAX(Expense2_ActualJan-Expense2_BudgetJan,0)</f>
        <v>0</v>
      </c>
      <c r="Y55" s="214">
        <f>MAX(Expense2_BudgetJan-Expense2_ActualJan,0)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monthlyExpense_Jan3_Name</f>
        <v>Clothes</v>
      </c>
      <c r="V56" s="219">
        <f>IFERROR(Expense3_BudgetJan,"")</f>
        <v>0</v>
      </c>
      <c r="W56" s="219">
        <f>IFERROR(Expense3_ActualJan,"")</f>
        <v>0</v>
      </c>
      <c r="X56" s="220">
        <f>MAX(Expense3_ActualJan-Expense3_BudgetJan,0)</f>
        <v>0</v>
      </c>
      <c r="Y56" s="214">
        <f>MAX(Expense3_BudgetJan-Expense3_ActualJan,0)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monthlyExpense_Jan6_Name</f>
        <v>Groceries</v>
      </c>
      <c r="V57" s="219">
        <f>IFERROR(Expense6_BudgetJan,"")</f>
        <v>0</v>
      </c>
      <c r="W57" s="219">
        <f>IFERROR(Expense6_ActualJan,"")</f>
        <v>0</v>
      </c>
      <c r="X57" s="220">
        <f>MAX(Expense6_ActualJan-Expense6_BudgetJan,0)</f>
        <v>0</v>
      </c>
      <c r="Y57" s="214">
        <f>MAX(Expense6_BudgetJan-Expense6_ActualJan,0)</f>
        <v>0</v>
      </c>
      <c r="Z57" s="115"/>
    </row>
    <row r="58" spans="1:26" x14ac:dyDescent="0.3">
      <c r="T58" s="115"/>
      <c r="U58" s="218" t="str">
        <f>monthlyExpense_Jan7_Name</f>
        <v>Hair</v>
      </c>
      <c r="V58" s="219">
        <f>IFERROR(Expense7_BudgetJan,"")</f>
        <v>0</v>
      </c>
      <c r="W58" s="219">
        <f>IFERROR(Expense7_ActualJan,"")</f>
        <v>0</v>
      </c>
      <c r="X58" s="220">
        <f>MAX(Expense7_ActualJan-Expense7_BudgetJan,0)</f>
        <v>0</v>
      </c>
      <c r="Y58" s="214">
        <f>MAX(Expense7_BudgetJan-Expense7_ActualJan,0)</f>
        <v>0</v>
      </c>
      <c r="Z58" s="115"/>
    </row>
    <row r="59" spans="1:26" x14ac:dyDescent="0.3">
      <c r="T59" s="115"/>
      <c r="U59" s="218" t="str">
        <f>monthlyExpense_Jan8_Name</f>
        <v>Transport</v>
      </c>
      <c r="V59" s="219">
        <f>IFERROR(Expense8_BudgetJan,"")</f>
        <v>0</v>
      </c>
      <c r="W59" s="219">
        <f>IFERROR(Expense8_ActualJan,"")</f>
        <v>0</v>
      </c>
      <c r="X59" s="220">
        <f>MAX(Expense8_ActualJan-Expense8_BudgetJan,0)</f>
        <v>0</v>
      </c>
      <c r="Y59" s="214">
        <f>MAX(Expense8_BudgetJan-Expense8_ActualJan,0)</f>
        <v>0</v>
      </c>
      <c r="Z59" s="115"/>
    </row>
    <row r="60" spans="1:26" x14ac:dyDescent="0.3">
      <c r="T60" s="115"/>
      <c r="U60" s="218" t="str">
        <f>monthlyExpense_Jan10_Name</f>
        <v xml:space="preserve">Stationery </v>
      </c>
      <c r="V60" s="219">
        <f>IFERROR(Expense10_BudgetJan,"")</f>
        <v>0</v>
      </c>
      <c r="W60" s="219">
        <f>IFERROR(Expense10_ActualJan,"")</f>
        <v>0</v>
      </c>
      <c r="X60" s="220">
        <f>MAX(Expense10_ActualJan-Expense10_BudgetJan,0)</f>
        <v>0</v>
      </c>
      <c r="Y60" s="214">
        <f>MAX(Expense10_BudgetJan-Expense10_ActualJan,0)</f>
        <v>0</v>
      </c>
      <c r="Z60" s="115"/>
    </row>
    <row r="61" spans="1:26" x14ac:dyDescent="0.3">
      <c r="T61" s="115"/>
      <c r="U61" s="218" t="str">
        <f>monthlyExpense_Jan11_Name</f>
        <v xml:space="preserve">Other </v>
      </c>
      <c r="V61" s="219">
        <f>IFERROR(Expense11_BudgetJan,"")</f>
        <v>0</v>
      </c>
      <c r="W61" s="219">
        <f>IFERROR(Expense11_ActualJan,"")</f>
        <v>0</v>
      </c>
      <c r="X61" s="220">
        <f>MAX(Expense10_ActualJan-Expense10_BudgetJan,0)</f>
        <v>0</v>
      </c>
      <c r="Y61" s="214">
        <f>MAX(Expense11_BudgetJan-Expense11_ActualJan,0)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SUM(Formal_Jan_SubTotal+Informal_Jan_SubTotal+Friends_family_Jan_SubTotal)-SUM(Formal_IAO+Informal_IAO+Friends_family_IAO)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sortState xmlns:xlrd2="http://schemas.microsoft.com/office/spreadsheetml/2017/richdata2" ref="U59:Y69">
    <sortCondition descending="1" ref="V59:V69"/>
  </sortState>
  <mergeCells count="3">
    <mergeCell ref="B39:D39"/>
    <mergeCell ref="L40:O40"/>
    <mergeCell ref="U41:X4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Z70"/>
  <sheetViews>
    <sheetView topLeftCell="A22"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SUM(Formal_Feb_SubTotal+Informal_Feb_SubTotal+Friends_family_Feb_SubTotal)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Formal_Feb_SubTotal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38">
        <f>Total_Income_Actual_Feb</f>
        <v>0</v>
      </c>
      <c r="C30" s="5"/>
      <c r="D30" s="5"/>
      <c r="E30" s="5"/>
      <c r="F30" s="5"/>
      <c r="G30" s="5"/>
      <c r="H30" s="5"/>
      <c r="I30" s="5"/>
      <c r="J30" s="5"/>
      <c r="K30" s="5"/>
      <c r="L30" s="126" t="str">
        <f>L42</f>
        <v>Goals</v>
      </c>
      <c r="M30" s="5"/>
      <c r="N30" s="126">
        <f>N42</f>
        <v>0</v>
      </c>
      <c r="O30" s="5"/>
      <c r="P30" s="121">
        <f>Informal_Feb_SubTotal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Total_Expenses_Feb</f>
        <v>0</v>
      </c>
      <c r="H32" s="5"/>
      <c r="I32" s="5"/>
      <c r="J32" s="5"/>
      <c r="K32" s="5"/>
      <c r="L32" s="123" t="str">
        <f>L47</f>
        <v>Savings and Investments</v>
      </c>
      <c r="M32" s="125"/>
      <c r="N32" s="124">
        <f>N47</f>
        <v>0</v>
      </c>
      <c r="O32" s="5"/>
      <c r="P32" s="132">
        <f>Friends_family_Feb_SubTotal</f>
        <v>0</v>
      </c>
      <c r="Q32" s="5"/>
      <c r="R32" s="1"/>
    </row>
    <row r="33" spans="1:26" ht="15.75" x14ac:dyDescent="0.3">
      <c r="A33" s="1"/>
      <c r="B33" s="119">
        <f>(Total_Income_Actual_Feb-Total_Expenses_Feb)</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1744</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IFERROR(SUM(Goals_FebSavings),"")</f>
        <v>0</v>
      </c>
      <c r="O42" s="113" t="str">
        <f>IFERROR(SUM(Over_under_Goals_Feb),"")</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Savings_Goal_MonthlySavings_Feb_1</f>
        <v>0</v>
      </c>
      <c r="O43" s="146" t="e">
        <f>(Savings_Goal_MonthlySavings_Feb_1+Savings_Goal_MinSavings_1)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Savings_Goal_MonthlySavings_Feb_2</f>
        <v>0</v>
      </c>
      <c r="O44" s="146" t="e">
        <f>(Savings_Goal_MonthlySavings_Feb_2+Savings_Goal_MinSavings_2)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Savings_Goal_MonthlySavings_Feb_3</f>
        <v>0</v>
      </c>
      <c r="O45" s="146" t="e">
        <f>(Savings_Goal_MonthlySavings_Feb_3+Savings_Goal_MinSavings_3)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Savings_Goal_MonthlySavings_Feb_4</f>
        <v>0</v>
      </c>
      <c r="O46" s="146" t="e">
        <f>(Savings_Goal_MonthlySavings_Feb_4+Savings_Goal_MinSavings_4)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IFERROR(SUM(SavingsInvestments_FebSavings),"")</f>
        <v>0</v>
      </c>
      <c r="O47" s="114" t="str">
        <f>IFERROR(SUM(Over_Under_Savings_Feb),"")</f>
        <v/>
      </c>
      <c r="P47" s="133"/>
      <c r="Q47" s="133"/>
      <c r="R47" s="1"/>
      <c r="T47" s="115"/>
      <c r="U47" s="115" t="s">
        <v>375</v>
      </c>
      <c r="V47" s="209"/>
      <c r="W47" s="212">
        <v>0.5</v>
      </c>
      <c r="X47" s="209"/>
      <c r="Y47" s="213">
        <f>SUM(Total_Expenses_Feb+Formal_Feb_SubTotal+Informal_Feb_SubTotal+Friends_family_Feb_SubTotal+Goals_Feb_SubTotal+SavingsInvestments_Feb_SubTotal)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Savings_Investments_MonthlySavings_Feb_1</f>
        <v>0</v>
      </c>
      <c r="O48" s="146" t="e">
        <f>(Savings_Investments_MinSavings_1+Savings_Investments_MonthlySavings_Feb_1)</f>
        <v>#VALUE!</v>
      </c>
      <c r="P48" s="133"/>
      <c r="Q48" s="133"/>
      <c r="R48" s="1"/>
      <c r="T48" s="115"/>
      <c r="U48" s="209"/>
      <c r="V48" s="209"/>
      <c r="W48" s="209"/>
      <c r="X48" s="209"/>
      <c r="Y48" s="214">
        <f>(Total_Income_Actual_Feb-TOTAL_DEDUCTIONS_Feb)</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Savings_Investments_MonthlySavings_Feb_2</f>
        <v>0</v>
      </c>
      <c r="O49" s="146" t="e">
        <f>(Savings_Investments_MinSavings_2+Savings_Investments_MonthlySavings_Feb_2)</f>
        <v>#VALUE!</v>
      </c>
      <c r="P49" s="133"/>
      <c r="Q49" s="133"/>
      <c r="R49" s="1"/>
      <c r="T49" s="115"/>
      <c r="U49" s="209"/>
      <c r="V49" s="209"/>
      <c r="W49" s="209"/>
      <c r="X49" s="209"/>
      <c r="Y49" s="212" t="e">
        <f>(TOTAL_DEDUCTIONS_Feb/Total_Income_Actual_Feb)</f>
        <v>#DIV/0!</v>
      </c>
      <c r="Z49" s="115"/>
    </row>
    <row r="50" spans="1:26" ht="16.5" thickBot="1" x14ac:dyDescent="0.35">
      <c r="A50" s="1"/>
      <c r="B50" s="149" t="s">
        <v>28</v>
      </c>
      <c r="C50" s="150">
        <f>IFERROR(SUM(Budgeted_Income_Feb),"")</f>
        <v>0</v>
      </c>
      <c r="D50" s="151">
        <f>IFERROR(SUM(Actual_Income_Feb),"")</f>
        <v>0</v>
      </c>
      <c r="E50" s="150">
        <f>IFERROR(SUM(Over_under_income_Feb),"")</f>
        <v>0</v>
      </c>
      <c r="F50" s="141"/>
      <c r="G50" s="142" t="s">
        <v>17</v>
      </c>
      <c r="H50" s="143">
        <v>0</v>
      </c>
      <c r="I50" s="143">
        <v>0</v>
      </c>
      <c r="J50" s="144">
        <f t="shared" si="0"/>
        <v>0</v>
      </c>
      <c r="K50" s="141"/>
      <c r="L50" s="148">
        <f>Savings_Investments_3</f>
        <v>0</v>
      </c>
      <c r="M50" s="146" t="e">
        <f>-Savings_Investments_MinSavings_3</f>
        <v>#VALUE!</v>
      </c>
      <c r="N50" s="110">
        <f>Savings_Investments_MonthlySavings_Feb_3</f>
        <v>0</v>
      </c>
      <c r="O50" s="146" t="e">
        <f>(Savings_Investments_MinSavings_3+Savings_Investments_MonthlySavings_Feb_3)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Savings_Investments_MonthlySavings_Feb_4</f>
        <v>0</v>
      </c>
      <c r="O51" s="146" t="e">
        <f>(Savings_Investments_MinSavings_4+Savings_Investments_MonthlySavings_Feb_4)</f>
        <v>#VALUE!</v>
      </c>
      <c r="P51" s="133"/>
      <c r="Q51" s="133"/>
      <c r="R51" s="1"/>
      <c r="T51" s="115"/>
      <c r="U51" s="218" t="str">
        <f>monthlyExpense_Feb9_Name</f>
        <v>Rental</v>
      </c>
      <c r="V51" s="219">
        <f>IFERROR(Expense9_BudgetFeb,"")</f>
        <v>0</v>
      </c>
      <c r="W51" s="219">
        <f>IFERROR(Expense9_ActualFeb,"")</f>
        <v>0</v>
      </c>
      <c r="X51" s="220">
        <f>MAX(Expense9_ActualFeb-Expense9_BudgetFeb,0)</f>
        <v>0</v>
      </c>
      <c r="Y51" s="214">
        <f>MAX(Expense9_BudgetFeb-Expense9_ActualFeb,0)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monthlyExpense_Feb4_Name</f>
        <v xml:space="preserve">Entertainment </v>
      </c>
      <c r="V52" s="219">
        <f>IFERROR(Expense4_BudgetFeb,"")</f>
        <v>0</v>
      </c>
      <c r="W52" s="219">
        <f>IFERROR(Expense4_ActualFeb,"")</f>
        <v>0</v>
      </c>
      <c r="X52" s="220">
        <f>MAX(Expense4_ActualFeb-Expense4_BudgetFeb,0)</f>
        <v>0</v>
      </c>
      <c r="Y52" s="214">
        <f>MAX(Expense4_BudgetFeb-Expense4_ActualFeb,0)</f>
        <v>0</v>
      </c>
      <c r="Z52" s="115"/>
    </row>
    <row r="53" spans="1:26" ht="16.5" thickBot="1" x14ac:dyDescent="0.35">
      <c r="A53" s="1"/>
      <c r="B53" s="152"/>
      <c r="C53" s="152"/>
      <c r="D53" s="152"/>
      <c r="E53" s="152"/>
      <c r="F53" s="152"/>
      <c r="G53" s="154" t="s">
        <v>28</v>
      </c>
      <c r="H53" s="155">
        <f>SUM(Budgeted_Expenses_Feb)</f>
        <v>0</v>
      </c>
      <c r="I53" s="156">
        <f>SUM(Actual_Expenses_Feb)</f>
        <v>0</v>
      </c>
      <c r="J53" s="150">
        <f>SUM(Over_under_expenses_Feb)</f>
        <v>0</v>
      </c>
      <c r="K53" s="152"/>
      <c r="L53" s="152"/>
      <c r="M53" s="152"/>
      <c r="N53" s="152"/>
      <c r="O53" s="152"/>
      <c r="P53" s="133"/>
      <c r="Q53" s="133"/>
      <c r="R53" s="1"/>
      <c r="T53" s="115"/>
      <c r="U53" s="218" t="str">
        <f>monthlyExpense_Feb5_Name</f>
        <v>Black Tax</v>
      </c>
      <c r="V53" s="219">
        <f>IFERROR(Expense5_BudgetFeb,"")</f>
        <v>0</v>
      </c>
      <c r="W53" s="219">
        <f>IFERROR(Expense5_ActualFeb,"")</f>
        <v>0</v>
      </c>
      <c r="X53" s="220">
        <f>MAX(Expense5_ActualFeb-Expense5_BudgetFeb,0)</f>
        <v>0</v>
      </c>
      <c r="Y53" s="214">
        <f>MAX(Expense5_BudgetFeb-Expense5_ActualFeb,0)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monthlyExpense_Feb1_Name</f>
        <v>Airtime/Data</v>
      </c>
      <c r="V54" s="219">
        <f>IFERROR(Expense1_BudgetFeb,"")</f>
        <v>0</v>
      </c>
      <c r="W54" s="219">
        <f>IFERROR(Expense1_ActualFeb,"")</f>
        <v>0</v>
      </c>
      <c r="X54" s="220">
        <f>MAX(Expense1_ActualFeb-Expense1_BudgetFeb,0)</f>
        <v>0</v>
      </c>
      <c r="Y54" s="214">
        <f>MAX(Expense1_BudgetFeb-Expense1_ActualFeb,0)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monthlyExpense_Feb2_Name</f>
        <v>Bank charges</v>
      </c>
      <c r="V55" s="219">
        <f>IFERROR(Expense2_BudgetFeb,"")</f>
        <v>0</v>
      </c>
      <c r="W55" s="219">
        <f>IFERROR(Expense2_ActualFeb,"")</f>
        <v>0</v>
      </c>
      <c r="X55" s="220">
        <f>MAX(Expense2_ActualFeb-Expense2_BudgetFeb,0)</f>
        <v>0</v>
      </c>
      <c r="Y55" s="214">
        <f>MAX(Expense2_BudgetFeb-Expense2_ActualFeb,0)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monthlyExpense_Feb3_Name</f>
        <v>Clothes</v>
      </c>
      <c r="V56" s="219">
        <f>IFERROR(Expense3_BudgetFeb,"")</f>
        <v>0</v>
      </c>
      <c r="W56" s="219">
        <f>IFERROR(Expense3_ActualFeb,"")</f>
        <v>0</v>
      </c>
      <c r="X56" s="220">
        <f>MAX(Expense3_ActualFeb-Expense3_BudgetFeb,0)</f>
        <v>0</v>
      </c>
      <c r="Y56" s="214">
        <f>MAX(Expense3_BudgetFeb-Expense3_ActualFeb,0)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monthlyExpense_Feb6_Name</f>
        <v>Groceries</v>
      </c>
      <c r="V57" s="219">
        <f>IFERROR(Expense6_BudgetFeb,"")</f>
        <v>0</v>
      </c>
      <c r="W57" s="219">
        <f>IFERROR(Expense6_ActualFeb,"")</f>
        <v>0</v>
      </c>
      <c r="X57" s="220">
        <f>MAX(Expense6_ActualFeb-Expense6_BudgetFeb,0)</f>
        <v>0</v>
      </c>
      <c r="Y57" s="214">
        <f>MAX(Expense6_BudgetFeb-Expense6_ActualFeb,0)</f>
        <v>0</v>
      </c>
      <c r="Z57" s="115"/>
    </row>
    <row r="58" spans="1:26" x14ac:dyDescent="0.3">
      <c r="T58" s="115"/>
      <c r="U58" s="218" t="str">
        <f>monthlyExpense_Feb7_Name</f>
        <v>Hair</v>
      </c>
      <c r="V58" s="219">
        <f>IFERROR(Expense7_BudgetFeb,"")</f>
        <v>0</v>
      </c>
      <c r="W58" s="219">
        <f>IFERROR(Expense7_ActualFeb,"")</f>
        <v>0</v>
      </c>
      <c r="X58" s="220">
        <f>MAX(Expense7_ActualFeb-Expense7_BudgetFeb,0)</f>
        <v>0</v>
      </c>
      <c r="Y58" s="214">
        <f>MAX(Expense7_BudgetFeb-Expense7_ActualFeb,0)</f>
        <v>0</v>
      </c>
      <c r="Z58" s="115"/>
    </row>
    <row r="59" spans="1:26" x14ac:dyDescent="0.3">
      <c r="T59" s="115"/>
      <c r="U59" s="218" t="str">
        <f>monthlyExpense_Feb8_Name</f>
        <v>Transport</v>
      </c>
      <c r="V59" s="219">
        <f>IFERROR(Expense8_BudgetFeb8,"")</f>
        <v>0</v>
      </c>
      <c r="W59" s="219">
        <f>IFERROR(Expense8_ActualFeb,"")</f>
        <v>0</v>
      </c>
      <c r="X59" s="220">
        <f>MAX(Expense8_ActualFeb-Expense8_BudgetFeb8,0)</f>
        <v>0</v>
      </c>
      <c r="Y59" s="214">
        <f>MAX(Expense8_BudgetFeb8-Expense8_ActualFeb,0)</f>
        <v>0</v>
      </c>
      <c r="Z59" s="115"/>
    </row>
    <row r="60" spans="1:26" x14ac:dyDescent="0.3">
      <c r="T60" s="115"/>
      <c r="U60" s="218" t="str">
        <f>monthlyExpense_Feb10_Name</f>
        <v xml:space="preserve">Stationery </v>
      </c>
      <c r="V60" s="219">
        <f>IFERROR(Expense10_BudgetFeb,"")</f>
        <v>0</v>
      </c>
      <c r="W60" s="219">
        <f>IFERROR(Expense10_ActualFeb,"")</f>
        <v>0</v>
      </c>
      <c r="X60" s="220">
        <f>MAX(Expense10_ActualFeb-Expense10_BudgetFeb,0)</f>
        <v>0</v>
      </c>
      <c r="Y60" s="214">
        <f>MAX(Expense10_BudgetFeb-Expense10_ActualFeb,0)</f>
        <v>0</v>
      </c>
      <c r="Z60" s="115"/>
    </row>
    <row r="61" spans="1:26" x14ac:dyDescent="0.3">
      <c r="T61" s="115"/>
      <c r="U61" s="218" t="str">
        <f>monthlyExpense_Feb11_Name</f>
        <v xml:space="preserve">Other </v>
      </c>
      <c r="V61" s="219">
        <f>IFERROR(Expense11_BudgetFeb,"")</f>
        <v>0</v>
      </c>
      <c r="W61" s="219">
        <f>IFERROR(Expense11_ActualFeb,"")</f>
        <v>0</v>
      </c>
      <c r="X61" s="220">
        <f>MAX(Expense10_ActualFeb-Expense10_BudgetFeb,0)</f>
        <v>0</v>
      </c>
      <c r="Y61" s="214">
        <f>MAX(Expense11_BudgetFeb-Expense11_ActualFeb,0)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AA70"/>
  <sheetViews>
    <sheetView topLeftCell="A21"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SUM(Formal_Mar_SubTotal+Informal_Mar_SubTotal+Friends_family_Mar_SubTotal)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Formal_Mar_SubTotal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Total_Income_Actual_Mar</f>
        <v>0</v>
      </c>
      <c r="C30" s="5"/>
      <c r="D30" s="5"/>
      <c r="E30" s="5"/>
      <c r="F30" s="5"/>
      <c r="G30" s="5"/>
      <c r="H30" s="5"/>
      <c r="I30" s="5"/>
      <c r="J30" s="5"/>
      <c r="K30" s="5"/>
      <c r="L30" s="126" t="str">
        <f>L42</f>
        <v>Goals</v>
      </c>
      <c r="M30" s="5"/>
      <c r="N30" s="126">
        <f>N42</f>
        <v>0</v>
      </c>
      <c r="O30" s="5"/>
      <c r="P30" s="121">
        <f>Informal_Mar_SubTotal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Total_Expenses_Mar</f>
        <v>0</v>
      </c>
      <c r="H32" s="5"/>
      <c r="I32" s="5"/>
      <c r="J32" s="5"/>
      <c r="K32" s="5"/>
      <c r="L32" s="123" t="str">
        <f>L47</f>
        <v>Savings and Investments</v>
      </c>
      <c r="M32" s="125"/>
      <c r="N32" s="124">
        <f>N47</f>
        <v>0</v>
      </c>
      <c r="O32" s="5"/>
      <c r="P32" s="132">
        <f>Friends_family_Mar_SubTotal</f>
        <v>0</v>
      </c>
      <c r="Q32" s="5"/>
      <c r="R32" s="1"/>
    </row>
    <row r="33" spans="1:27" ht="15.75" x14ac:dyDescent="0.3">
      <c r="A33" s="1"/>
      <c r="B33" s="119">
        <f>(Total_Income_Actual_Mar-Total_Expenses_Mar)</f>
        <v>0</v>
      </c>
      <c r="C33" s="5"/>
      <c r="D33" s="5"/>
      <c r="E33" s="5"/>
      <c r="F33" s="5"/>
      <c r="G33" s="5"/>
      <c r="H33" s="5"/>
      <c r="I33" s="5"/>
      <c r="J33" s="5"/>
      <c r="K33" s="5"/>
      <c r="L33" s="5"/>
      <c r="M33" s="5"/>
      <c r="N33" s="5"/>
      <c r="O33" s="5"/>
      <c r="P33" s="5"/>
      <c r="Q33" s="5"/>
      <c r="R33" s="1"/>
    </row>
    <row r="34" spans="1:27" ht="15.75" x14ac:dyDescent="0.3">
      <c r="A34" s="1"/>
      <c r="B34" s="5"/>
      <c r="C34" s="5"/>
      <c r="D34" s="5"/>
      <c r="E34" s="5"/>
      <c r="F34" s="5"/>
      <c r="G34" s="5"/>
      <c r="H34" s="5"/>
      <c r="I34" s="5"/>
      <c r="J34" s="5"/>
      <c r="K34" s="5"/>
      <c r="L34" s="5"/>
      <c r="M34" s="5"/>
      <c r="N34" s="5"/>
      <c r="O34" s="5"/>
      <c r="P34" s="133"/>
      <c r="Q34" s="5"/>
      <c r="R34" s="1"/>
    </row>
    <row r="35" spans="1:27" ht="15.75" x14ac:dyDescent="0.3">
      <c r="A35" s="1"/>
      <c r="B35" s="133"/>
      <c r="C35" s="133"/>
      <c r="D35" s="133"/>
      <c r="E35" s="133"/>
      <c r="F35" s="133"/>
      <c r="G35" s="133"/>
      <c r="H35" s="133"/>
      <c r="I35" s="133"/>
      <c r="J35" s="133"/>
      <c r="K35" s="133"/>
      <c r="L35" s="133"/>
      <c r="M35" s="133"/>
      <c r="N35" s="133"/>
      <c r="O35" s="133"/>
      <c r="P35" s="133"/>
      <c r="Q35" s="133"/>
      <c r="R35" s="1"/>
    </row>
    <row r="36" spans="1:27" ht="15.75" x14ac:dyDescent="0.3">
      <c r="A36" s="1"/>
      <c r="B36" s="135"/>
      <c r="C36" s="135"/>
      <c r="D36" s="135"/>
      <c r="E36" s="135"/>
      <c r="F36" s="135"/>
      <c r="G36" s="135"/>
      <c r="H36" s="135"/>
      <c r="I36" s="135"/>
      <c r="J36" s="135"/>
      <c r="K36" s="135"/>
      <c r="L36" s="135"/>
      <c r="M36" s="135"/>
      <c r="N36" s="135"/>
      <c r="O36" s="135"/>
      <c r="P36" s="135"/>
      <c r="Q36" s="135"/>
      <c r="R36" s="1"/>
      <c r="T36" s="171"/>
    </row>
    <row r="37" spans="1:27"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7"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7" ht="15.75" x14ac:dyDescent="0.3">
      <c r="A39" s="1"/>
      <c r="B39" s="269" t="s">
        <v>1745</v>
      </c>
      <c r="C39" s="269"/>
      <c r="D39" s="269"/>
      <c r="E39" s="6"/>
      <c r="F39" s="6"/>
      <c r="G39" s="6"/>
      <c r="H39" s="6"/>
      <c r="I39" s="6"/>
      <c r="J39" s="6"/>
      <c r="K39" s="6"/>
      <c r="L39" s="6"/>
      <c r="M39" s="6"/>
      <c r="N39" s="6"/>
      <c r="O39" s="6"/>
      <c r="P39" s="6"/>
      <c r="Q39" s="6"/>
      <c r="R39" s="1"/>
      <c r="T39" s="103"/>
      <c r="U39" s="103"/>
      <c r="V39" s="103"/>
      <c r="W39" s="103"/>
      <c r="X39" s="103"/>
      <c r="Y39" s="103"/>
      <c r="Z39" s="103"/>
    </row>
    <row r="40" spans="1:27"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7"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7"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IFERROR(SUM(Goals_MarSavings),"")</f>
        <v>0</v>
      </c>
      <c r="O42" s="113" t="str">
        <f>IFERROR(SUM(Over_under_Goals_Mar),"")</f>
        <v/>
      </c>
      <c r="P42" s="133"/>
      <c r="Q42" s="133"/>
      <c r="R42" s="1"/>
      <c r="T42" s="115"/>
      <c r="U42" s="209" t="s">
        <v>368</v>
      </c>
      <c r="V42" s="210" t="e">
        <f>$Y$49</f>
        <v>#DIV/0!</v>
      </c>
      <c r="W42" s="210">
        <v>0.01</v>
      </c>
      <c r="X42" s="211" t="e">
        <f>150%-SUM(V42:W42)</f>
        <v>#DIV/0!</v>
      </c>
      <c r="Y42" s="115"/>
      <c r="Z42" s="115"/>
    </row>
    <row r="43" spans="1:27"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Savings_Goal_MonthlySavings_Mar_1</f>
        <v>0</v>
      </c>
      <c r="O43" s="146" t="e">
        <f>(Savings_Goal_MonthlySavings_Mar_1+Savings_Goal_MinSavings_1)</f>
        <v>#VALUE!</v>
      </c>
      <c r="P43" s="133"/>
      <c r="Q43" s="133"/>
      <c r="R43" s="1"/>
      <c r="T43" s="115"/>
      <c r="U43" s="209"/>
      <c r="V43" s="209"/>
      <c r="W43" s="209"/>
      <c r="X43" s="209"/>
      <c r="Y43" s="115"/>
      <c r="Z43" s="115"/>
    </row>
    <row r="44" spans="1:27"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Savings_Goal_MonthlySavings_Mar_2</f>
        <v>0</v>
      </c>
      <c r="O44" s="146" t="e">
        <f>(Savings_Goal_MonthlySavings_Mar_2+Savings_Goal_MinSavings_2)</f>
        <v>#VALUE!</v>
      </c>
      <c r="P44" s="133"/>
      <c r="Q44" s="133"/>
      <c r="R44" s="1"/>
      <c r="T44" s="115"/>
      <c r="U44" s="115" t="s">
        <v>373</v>
      </c>
      <c r="V44" s="115" t="s">
        <v>370</v>
      </c>
      <c r="W44" s="212">
        <v>0.35</v>
      </c>
      <c r="X44" s="117"/>
      <c r="Y44" s="116"/>
      <c r="Z44" s="116"/>
      <c r="AA44" s="222"/>
    </row>
    <row r="45" spans="1:27"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Savings_Goal_MonthlySavings_Mar_3</f>
        <v>0</v>
      </c>
      <c r="O45" s="146" t="e">
        <f>(Savings_Goal_MonthlySavings_Mar_3+Savings_Goal_MinSavings_3)</f>
        <v>#VALUE!</v>
      </c>
      <c r="P45" s="133"/>
      <c r="Q45" s="133"/>
      <c r="R45" s="1"/>
      <c r="T45" s="115"/>
      <c r="U45" s="115" t="s">
        <v>371</v>
      </c>
      <c r="V45" s="115" t="s">
        <v>372</v>
      </c>
      <c r="W45" s="212">
        <v>0.35</v>
      </c>
      <c r="X45" s="209"/>
      <c r="Y45" s="115"/>
      <c r="Z45" s="115"/>
      <c r="AA45" s="222"/>
    </row>
    <row r="46" spans="1:27"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Savings_Goal_MonthlySavings_Mar_4</f>
        <v>0</v>
      </c>
      <c r="O46" s="146" t="e">
        <f>(Savings_Goal_MonthlySavings_Mar_4+Savings_Goal_MinSavings_4)</f>
        <v>#VALUE!</v>
      </c>
      <c r="P46" s="133"/>
      <c r="Q46" s="133"/>
      <c r="R46" s="1"/>
      <c r="T46" s="115"/>
      <c r="U46" s="115" t="s">
        <v>369</v>
      </c>
      <c r="V46" s="115" t="s">
        <v>374</v>
      </c>
      <c r="W46" s="212">
        <v>0.3</v>
      </c>
      <c r="X46" s="209"/>
      <c r="Y46" s="115"/>
      <c r="Z46" s="115"/>
      <c r="AA46" s="222"/>
    </row>
    <row r="47" spans="1:27"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IFERROR(SUM(SavingsInvestments_MarSavings),"")</f>
        <v>0</v>
      </c>
      <c r="O47" s="114" t="str">
        <f>IFERROR(SUM(Over_Under_Savings_Mar),"")</f>
        <v/>
      </c>
      <c r="P47" s="133"/>
      <c r="Q47" s="133"/>
      <c r="R47" s="1"/>
      <c r="T47" s="115"/>
      <c r="U47" s="115" t="s">
        <v>375</v>
      </c>
      <c r="V47" s="209"/>
      <c r="W47" s="212">
        <v>0.5</v>
      </c>
      <c r="X47" s="209"/>
      <c r="Y47" s="213">
        <f>SUM(Total_Expenses_Mar+Formal_Mar_SubTotal+Informal_Mar_SubTotal+Friends_family_Mar_SubTotal+Goals_Mar_SubTotal+SavingsInvestments_Mar_SubTotal)</f>
        <v>0</v>
      </c>
      <c r="Z47" s="115"/>
      <c r="AA47" s="222"/>
    </row>
    <row r="48" spans="1:27"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Savings_Investments_MonthlySavings_Mar_1</f>
        <v>0</v>
      </c>
      <c r="O48" s="146" t="e">
        <f>(Savings_Investments_MinSavings_1+Savings_Investments_MonthlySavings_Mar_1)</f>
        <v>#VALUE!</v>
      </c>
      <c r="P48" s="133"/>
      <c r="Q48" s="133"/>
      <c r="R48" s="1"/>
      <c r="T48" s="115"/>
      <c r="U48" s="209"/>
      <c r="V48" s="209"/>
      <c r="W48" s="209"/>
      <c r="X48" s="209"/>
      <c r="Y48" s="214">
        <f>(Total_Income_Actual_Mar-Deductions_Mar)</f>
        <v>0</v>
      </c>
      <c r="Z48" s="115"/>
      <c r="AA48" s="222"/>
    </row>
    <row r="49" spans="1:27"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Savings_Investments_MonthlySavings_Mar_2</f>
        <v>0</v>
      </c>
      <c r="O49" s="146" t="e">
        <f>(Savings_Investments_MinSavings_2+Savings_Investments_MonthlySavings_Mar_2)</f>
        <v>#VALUE!</v>
      </c>
      <c r="P49" s="133"/>
      <c r="Q49" s="133"/>
      <c r="R49" s="1"/>
      <c r="T49" s="115"/>
      <c r="U49" s="209"/>
      <c r="V49" s="209"/>
      <c r="W49" s="209"/>
      <c r="X49" s="209"/>
      <c r="Y49" s="212" t="e">
        <f>(TOTAL_MarDEDUCTIONS/Total_Income_Actual_Mar)</f>
        <v>#DIV/0!</v>
      </c>
      <c r="Z49" s="115"/>
      <c r="AA49" s="222"/>
    </row>
    <row r="50" spans="1:27" ht="16.5" thickBot="1" x14ac:dyDescent="0.35">
      <c r="A50" s="1"/>
      <c r="B50" s="149" t="s">
        <v>28</v>
      </c>
      <c r="C50" s="150">
        <f>IFERROR(SUM(Budgeted_Income_Mar),"")</f>
        <v>0</v>
      </c>
      <c r="D50" s="151">
        <f>IFERROR(SUM(Actual_Income_Mar),"")</f>
        <v>0</v>
      </c>
      <c r="E50" s="150">
        <f>IFERROR(SUM(Over_under_income_Mar),"")</f>
        <v>0</v>
      </c>
      <c r="F50" s="141"/>
      <c r="G50" s="142" t="s">
        <v>17</v>
      </c>
      <c r="H50" s="143">
        <v>0</v>
      </c>
      <c r="I50" s="143">
        <v>0</v>
      </c>
      <c r="J50" s="144">
        <f t="shared" si="0"/>
        <v>0</v>
      </c>
      <c r="K50" s="141"/>
      <c r="L50" s="148">
        <f>Savings_Investments_3</f>
        <v>0</v>
      </c>
      <c r="M50" s="146" t="e">
        <f>-Savings_Investments_MinSavings_3</f>
        <v>#VALUE!</v>
      </c>
      <c r="N50" s="110">
        <f>Savings_Investments_MonthlySavings_Mar_3</f>
        <v>0</v>
      </c>
      <c r="O50" s="146" t="e">
        <f>(Savings_Investments_MinSavings_3+Savings_Investments_MonthlySavings_Mar_3)</f>
        <v>#VALUE!</v>
      </c>
      <c r="P50" s="133"/>
      <c r="Q50" s="133"/>
      <c r="R50" s="1"/>
      <c r="T50" s="115"/>
      <c r="U50" s="215" t="s">
        <v>16</v>
      </c>
      <c r="V50" s="216" t="s">
        <v>4</v>
      </c>
      <c r="W50" s="216" t="s">
        <v>5</v>
      </c>
      <c r="X50" s="216" t="s">
        <v>6</v>
      </c>
      <c r="Y50" s="217" t="s">
        <v>376</v>
      </c>
      <c r="Z50" s="115"/>
    </row>
    <row r="51" spans="1:27"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Savings_Investments_MonthlySavings_Mar_4</f>
        <v>0</v>
      </c>
      <c r="O51" s="146" t="e">
        <f>(Savings_Investments_MinSavings_4+Savings_Investments_MonthlySavings_Mar_4)</f>
        <v>#VALUE!</v>
      </c>
      <c r="P51" s="133"/>
      <c r="Q51" s="133"/>
      <c r="R51" s="1"/>
      <c r="T51" s="115"/>
      <c r="U51" s="218" t="str">
        <f>monthlyExpense_Mar9_Name</f>
        <v>Rental</v>
      </c>
      <c r="V51" s="219">
        <f>IFERROR(Expense9_BudgetMar,"")</f>
        <v>0</v>
      </c>
      <c r="W51" s="219">
        <f>IFERROR(Expense9_ActualMar,"")</f>
        <v>0</v>
      </c>
      <c r="X51" s="220">
        <f>MAX(Expense9_ActualMar-Expense9_BudgetMar,0)</f>
        <v>0</v>
      </c>
      <c r="Y51" s="214">
        <f>MAX(Expense9_BudgetMar-Expense9_ActualMar,0)</f>
        <v>0</v>
      </c>
      <c r="Z51" s="115"/>
    </row>
    <row r="52" spans="1:27"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monthlyExpense_Mar4_Name</f>
        <v xml:space="preserve">Entertainment </v>
      </c>
      <c r="V52" s="219">
        <f>IFERROR(Expense4_BudgetMar,"")</f>
        <v>0</v>
      </c>
      <c r="W52" s="219">
        <f>IFERROR(Expense4_ActualMar,"")</f>
        <v>0</v>
      </c>
      <c r="X52" s="220">
        <f>MAX(Expense4_ActualMar-Expense4_BudgetMar,0)</f>
        <v>0</v>
      </c>
      <c r="Y52" s="214">
        <f>MAX(Expense4_BudgetMar-Expense4_ActualMar,0)</f>
        <v>0</v>
      </c>
      <c r="Z52" s="115"/>
    </row>
    <row r="53" spans="1:27" ht="16.5" thickBot="1" x14ac:dyDescent="0.35">
      <c r="A53" s="1"/>
      <c r="B53" s="152"/>
      <c r="C53" s="152"/>
      <c r="D53" s="152"/>
      <c r="E53" s="152"/>
      <c r="F53" s="152"/>
      <c r="G53" s="154" t="s">
        <v>28</v>
      </c>
      <c r="H53" s="155">
        <f>SUM(Budgeted_Expenses_Mar)</f>
        <v>0</v>
      </c>
      <c r="I53" s="156">
        <f>SUM(Actual_Expenses_Mar)</f>
        <v>0</v>
      </c>
      <c r="J53" s="150">
        <f>SUM(Over_under_expenses_Mar)</f>
        <v>0</v>
      </c>
      <c r="K53" s="152"/>
      <c r="L53" s="152"/>
      <c r="M53" s="152"/>
      <c r="N53" s="152"/>
      <c r="O53" s="152"/>
      <c r="P53" s="133"/>
      <c r="Q53" s="133"/>
      <c r="R53" s="1"/>
      <c r="T53" s="115"/>
      <c r="U53" s="218" t="str">
        <f>monthlyExpense_Mar5_Name</f>
        <v>Black Tax</v>
      </c>
      <c r="V53" s="219">
        <f>IFERROR(Expense5_BudgetMar,"")</f>
        <v>0</v>
      </c>
      <c r="W53" s="219">
        <f>IFERROR(Expense5_ActualMar,"")</f>
        <v>0</v>
      </c>
      <c r="X53" s="220">
        <f>MAX(Expense5_ActualMar-Expense5_BudgetMar,0)</f>
        <v>0</v>
      </c>
      <c r="Y53" s="214">
        <f>MAX(Expense5_BudgetMar-Expense5_ActualMar,0)</f>
        <v>0</v>
      </c>
      <c r="Z53" s="115"/>
    </row>
    <row r="54" spans="1:27"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monthlyExpense_Mar1_Name</f>
        <v>Airtime/Data</v>
      </c>
      <c r="V54" s="219">
        <f>IFERROR(Expense1_BudgetMar,"")</f>
        <v>0</v>
      </c>
      <c r="W54" s="219">
        <f>IFERROR(Expense1_ActualMar,"")</f>
        <v>0</v>
      </c>
      <c r="X54" s="220">
        <f>MAX(Expense1_ActualMar-Expense1_BudgetMar,0)</f>
        <v>0</v>
      </c>
      <c r="Y54" s="214">
        <f>MAX(Expense1_BudgetMar-Expense1_ActualMar,0)</f>
        <v>0</v>
      </c>
      <c r="Z54" s="115"/>
    </row>
    <row r="55" spans="1:27"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monthlyExpense_Mar2_Name</f>
        <v>Bank charges</v>
      </c>
      <c r="V55" s="219">
        <f>IFERROR(Expense2_BudgetMar,"")</f>
        <v>0</v>
      </c>
      <c r="W55" s="219">
        <f>IFERROR(Expense2_ActualMar,"")</f>
        <v>0</v>
      </c>
      <c r="X55" s="220">
        <f>MAX(Expense2_ActualMar-Expense2_BudgetMar,0)</f>
        <v>0</v>
      </c>
      <c r="Y55" s="214">
        <f>MAX(Expense2_BudgetMar-Expense2_ActualMar,0)</f>
        <v>0</v>
      </c>
      <c r="Z55" s="115"/>
    </row>
    <row r="56" spans="1:27"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monthlyExpense_Mar3_Name</f>
        <v>Clothes</v>
      </c>
      <c r="V56" s="219">
        <f>IFERROR(Expense3_BudgetMar,"")</f>
        <v>0</v>
      </c>
      <c r="W56" s="219">
        <f>IFERROR(Expense3_ActualMar,"")</f>
        <v>0</v>
      </c>
      <c r="X56" s="220">
        <f>MAX(Expense3_ActualMar-Expense3_BudgetMar,0)</f>
        <v>0</v>
      </c>
      <c r="Y56" s="214">
        <f>MAX(Expense3_BudgetMar-Expense3_ActualMar,0)</f>
        <v>0</v>
      </c>
      <c r="Z56" s="115"/>
    </row>
    <row r="57" spans="1:27" ht="15.75" x14ac:dyDescent="0.3">
      <c r="A57" s="1"/>
      <c r="B57" s="134" t="s">
        <v>383</v>
      </c>
      <c r="C57" s="1"/>
      <c r="D57" s="1"/>
      <c r="E57" s="1"/>
      <c r="F57" s="1"/>
      <c r="G57" s="1"/>
      <c r="H57" s="1"/>
      <c r="I57" s="1"/>
      <c r="J57" s="1"/>
      <c r="K57" s="1"/>
      <c r="L57" s="1"/>
      <c r="M57" s="1"/>
      <c r="N57" s="1"/>
      <c r="O57" s="1"/>
      <c r="P57" s="1"/>
      <c r="Q57" s="1"/>
      <c r="R57" s="1"/>
      <c r="T57" s="115"/>
      <c r="U57" s="218" t="str">
        <f>monthlyExpense_Mar6_Name</f>
        <v>Groceries</v>
      </c>
      <c r="V57" s="219">
        <f>IFERROR(Expense6_BudgetMar,"")</f>
        <v>0</v>
      </c>
      <c r="W57" s="219">
        <f>IFERROR(Expense6_ActualMar,"")</f>
        <v>0</v>
      </c>
      <c r="X57" s="220">
        <f>MAX(Expense6_ActualMar-Expense6_BudgetMar,0)</f>
        <v>0</v>
      </c>
      <c r="Y57" s="214">
        <f>MAX(Expense6_BudgetMar-Expense6_ActualMar,0)</f>
        <v>0</v>
      </c>
      <c r="Z57" s="115"/>
    </row>
    <row r="58" spans="1:27" x14ac:dyDescent="0.3">
      <c r="T58" s="115"/>
      <c r="U58" s="218" t="str">
        <f>monthlyExpense_Mar7_Name</f>
        <v>Hair</v>
      </c>
      <c r="V58" s="219">
        <f>IFERROR(Expense7_BudgetMar,"")</f>
        <v>0</v>
      </c>
      <c r="W58" s="219">
        <f>IFERROR(Expense7_ActualMar,"")</f>
        <v>0</v>
      </c>
      <c r="X58" s="220">
        <f>MAX(Expense7_ActualMar-Expense7_BudgetMar,0)</f>
        <v>0</v>
      </c>
      <c r="Y58" s="214">
        <f>MAX(Expense7_BudgetMar-Expense7_ActualMar,0)</f>
        <v>0</v>
      </c>
      <c r="Z58" s="115"/>
    </row>
    <row r="59" spans="1:27" x14ac:dyDescent="0.3">
      <c r="T59" s="115"/>
      <c r="U59" s="218" t="str">
        <f>monthlyExpense_Mar8_Name</f>
        <v>Transport</v>
      </c>
      <c r="V59" s="219">
        <f>IFERROR(Expense8_BudgetMar,"")</f>
        <v>0</v>
      </c>
      <c r="W59" s="219">
        <f>IFERROR(Expense8_ActualMar,"")</f>
        <v>0</v>
      </c>
      <c r="X59" s="220">
        <f>MAX(Expense8_ActualMar-Expense8_BudgetMar,0)</f>
        <v>0</v>
      </c>
      <c r="Y59" s="214">
        <f>MAX(Expense8_BudgetMar-Expense8_ActualMar,0)</f>
        <v>0</v>
      </c>
      <c r="Z59" s="115"/>
    </row>
    <row r="60" spans="1:27" x14ac:dyDescent="0.3">
      <c r="T60" s="115"/>
      <c r="U60" s="218" t="str">
        <f>monthlyExpense_Mar10_Name</f>
        <v xml:space="preserve">Stationery </v>
      </c>
      <c r="V60" s="219">
        <f>IFERROR(Expense10_BudgetMar,"")</f>
        <v>0</v>
      </c>
      <c r="W60" s="219">
        <f>IFERROR(Expense10_ActualMar,"")</f>
        <v>0</v>
      </c>
      <c r="X60" s="220">
        <f>MAX(Expense10_ActualMar-Expense10_BudgetMar,0)</f>
        <v>0</v>
      </c>
      <c r="Y60" s="214">
        <f>MAX(Expense10_BudgetMar-Expense10_ActualMar,0)</f>
        <v>0</v>
      </c>
      <c r="Z60" s="115"/>
    </row>
    <row r="61" spans="1:27" x14ac:dyDescent="0.3">
      <c r="T61" s="115"/>
      <c r="U61" s="218" t="str">
        <f>monthlyExpense_Mar11_Name</f>
        <v xml:space="preserve">Other </v>
      </c>
      <c r="V61" s="219">
        <f>IFERROR(Expense11_BudgetMar,"")</f>
        <v>0</v>
      </c>
      <c r="W61" s="219">
        <f>IFERROR(Expense11_ActualMar,"")</f>
        <v>0</v>
      </c>
      <c r="X61" s="220">
        <f>MAX(Expense10_ActualMar-Expense10_BudgetMar,0)</f>
        <v>0</v>
      </c>
      <c r="Y61" s="214">
        <f>MAX(Expense11_BudgetMar-Expense11_ActualMar,0)</f>
        <v>0</v>
      </c>
      <c r="Z61" s="115"/>
    </row>
    <row r="62" spans="1:27" x14ac:dyDescent="0.3">
      <c r="T62" s="115"/>
      <c r="U62" s="103"/>
      <c r="V62" s="103"/>
      <c r="W62" s="103"/>
      <c r="X62" s="103"/>
      <c r="Y62" s="103"/>
      <c r="Z62" s="115"/>
    </row>
    <row r="63" spans="1:27" x14ac:dyDescent="0.3">
      <c r="T63" s="115"/>
      <c r="U63" s="103" t="s">
        <v>382</v>
      </c>
      <c r="V63" s="103"/>
      <c r="W63" s="103"/>
      <c r="X63" s="103"/>
      <c r="Y63" s="103"/>
      <c r="Z63" s="115"/>
    </row>
    <row r="64" spans="1:27" x14ac:dyDescent="0.3">
      <c r="T64" s="115"/>
      <c r="U64" s="221">
        <f>SUM(SUM(Formal_Mar_SubTotal+Informal_Mar_SubTotal+Friends_family_Mar_SubTotal)+(Formal_Feb_SubTotal+Informal_Feb_SubTotal+Friends_family_Feb_SubTotal)+SUM(Formal_Jan_SubTotal+Informal_Jan_SubTotal+Friends_family_Feb_SubTotal))-SUM(Formal_IAO+Informal_IAO+Friends_family_IAO)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f>SUM(SUM(Formal_Mar_SubTotal+Informal_Mar_SubTotal+Friends_family_Mar_SubTotal)+(Formal_Feb_SubTotal+Informal_Feb_SubTotal+Friends_family_Feb_SubTotal)+SUM(Formal_Jan_SubTotal+Informal_Jan_SubTotal+Friends_family_Feb_SubTotal))-SUM(Formal_IAO+Informal_IAO+Friends_family_IAO)</f>
        <v>-400</v>
      </c>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Z70"/>
  <sheetViews>
    <sheetView topLeftCell="A21"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SUM(Formal_Apr_SubTotal+Informal_Apr_SubTotal+Friends_family_Apr_SubTotal)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Formal_Apr_SubTotal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Total_Income_Actual_Apr</f>
        <v>0</v>
      </c>
      <c r="C30" s="5"/>
      <c r="D30" s="5"/>
      <c r="E30" s="5"/>
      <c r="F30" s="5"/>
      <c r="G30" s="5"/>
      <c r="H30" s="5"/>
      <c r="I30" s="5"/>
      <c r="J30" s="5"/>
      <c r="K30" s="5"/>
      <c r="L30" s="126" t="str">
        <f>L42</f>
        <v>Goals</v>
      </c>
      <c r="M30" s="5"/>
      <c r="N30" s="126">
        <f>N42</f>
        <v>0</v>
      </c>
      <c r="O30" s="5"/>
      <c r="P30" s="121">
        <f>Informal_Apr_SubTotal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Total_Expenses_Apr</f>
        <v>0</v>
      </c>
      <c r="H32" s="5"/>
      <c r="I32" s="5"/>
      <c r="J32" s="5"/>
      <c r="K32" s="5"/>
      <c r="L32" s="123" t="str">
        <f>L47</f>
        <v>Savings and Investments</v>
      </c>
      <c r="M32" s="125"/>
      <c r="N32" s="124" t="str">
        <f>N47</f>
        <v/>
      </c>
      <c r="O32" s="5"/>
      <c r="P32" s="132">
        <f>Friends_family_Apr_SubTotal</f>
        <v>0</v>
      </c>
      <c r="Q32" s="5"/>
      <c r="R32" s="1"/>
    </row>
    <row r="33" spans="1:26" ht="15.75" x14ac:dyDescent="0.3">
      <c r="A33" s="1"/>
      <c r="B33" s="119">
        <f>(Total_Income_Actual_Apr-Total_Expenses_Apr)</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1746</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IFERROR(SUM(Goals_AprSavings),"")</f>
        <v>0</v>
      </c>
      <c r="O42" s="113" t="str">
        <f>IFERROR(SUM(Over_under_Goals_Apr),"")</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Savings_Goal_MonthlySavings_Aprr_1</f>
        <v>0</v>
      </c>
      <c r="O43" s="146" t="e">
        <f>(Savings_Goal_MonthlySavings_Jan_1+Savings_Goal_MinSavings_1)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Savings_Goal_MonthlySavings_Aprr_2</f>
        <v>0</v>
      </c>
      <c r="O44" s="146" t="e">
        <f>(Savings_Goal_MonthlySavings_Jan_2+Savings_Goal_MinSavings_2)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Savings_Goal_MonthlySavings_Aprr_3</f>
        <v>0</v>
      </c>
      <c r="O45" s="146" t="e">
        <f>(Savings_Goal_MonthlySavings_Jan_3+Savings_Goal_MinSavings_3)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Savings_Goal_MonthlySavings_Aprr_4</f>
        <v>0</v>
      </c>
      <c r="O46" s="146" t="e">
        <f>(Savings_Goal_MonthlySavings_Jan_4+Savings_Goal_MinSavings_4)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t="str">
        <f>IFERROR(SUM(SavingsInvestments_AprSavings),"")</f>
        <v/>
      </c>
      <c r="O47" s="114" t="str">
        <f>IFERROR(SUM(Over_Under_Savings_Apr),"")</f>
        <v/>
      </c>
      <c r="P47" s="133"/>
      <c r="Q47" s="133"/>
      <c r="R47" s="1"/>
      <c r="T47" s="115"/>
      <c r="U47" s="115" t="s">
        <v>375</v>
      </c>
      <c r="V47" s="209"/>
      <c r="W47" s="212">
        <v>0.5</v>
      </c>
      <c r="X47" s="209"/>
      <c r="Y47" s="213">
        <f>SUM(Total_Expenses_Apr+Formal_Apr_SubTotal+Informal_Apr_SubTotal+Friends_family_Apr_SubTotal+Goals_Apr_SubTotal+SavingsInvestments_Apr_SubTotal)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Savings_Investments_MonthlySavings_Apr_1</f>
        <v>0</v>
      </c>
      <c r="O48" s="146" t="e">
        <f>(Savings_Investments_MinSavings_1+Savings_Investments_MonthlySavings_Apr_1)</f>
        <v>#VALUE!</v>
      </c>
      <c r="P48" s="133"/>
      <c r="Q48" s="133"/>
      <c r="R48" s="1"/>
      <c r="T48" s="115"/>
      <c r="U48" s="209"/>
      <c r="V48" s="209"/>
      <c r="W48" s="209"/>
      <c r="X48" s="209"/>
      <c r="Y48" s="214">
        <f>(Total_Income_Actual_Apr-Deductions_Apr)</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Savings_Investments_MonthlySavings_Apr_2</f>
        <v>0</v>
      </c>
      <c r="O49" s="146" t="e">
        <f>(Savings_Investments_MinSavings_2+Savings_Investments_MonthlySavings_Apr_2)</f>
        <v>#VALUE!</v>
      </c>
      <c r="P49" s="133"/>
      <c r="Q49" s="133"/>
      <c r="R49" s="1"/>
      <c r="T49" s="115"/>
      <c r="U49" s="209"/>
      <c r="V49" s="209"/>
      <c r="W49" s="209"/>
      <c r="X49" s="209"/>
      <c r="Y49" s="212" t="e">
        <f>(Deductions_Apr/Total_Income_Actual_Apr)</f>
        <v>#DIV/0!</v>
      </c>
      <c r="Z49" s="115"/>
    </row>
    <row r="50" spans="1:26" ht="16.5" thickBot="1" x14ac:dyDescent="0.35">
      <c r="A50" s="1"/>
      <c r="B50" s="149" t="s">
        <v>28</v>
      </c>
      <c r="C50" s="150">
        <f>IFERROR(SUM(Budgeted_Income_Apr),"")</f>
        <v>0</v>
      </c>
      <c r="D50" s="151">
        <f>IFERROR(SUM(Actual_Income_Apr),"")</f>
        <v>0</v>
      </c>
      <c r="E50" s="150">
        <f>IFERROR(SUM(Over_under_income_Apr),"")</f>
        <v>0</v>
      </c>
      <c r="F50" s="141"/>
      <c r="G50" s="142" t="s">
        <v>17</v>
      </c>
      <c r="H50" s="143">
        <v>0</v>
      </c>
      <c r="I50" s="143">
        <v>0</v>
      </c>
      <c r="J50" s="144">
        <f t="shared" si="0"/>
        <v>0</v>
      </c>
      <c r="K50" s="141"/>
      <c r="L50" s="148">
        <f>Savings_Investments_3</f>
        <v>0</v>
      </c>
      <c r="M50" s="146" t="e">
        <f>-Savings_Investments_MinSavings_3</f>
        <v>#VALUE!</v>
      </c>
      <c r="N50" s="110">
        <f>Savings_Investments_MonthlySavings_Apr_3</f>
        <v>0</v>
      </c>
      <c r="O50" s="146" t="e">
        <f>(Savings_Investments_MinSavings_3+Savings_Investments_MonthlySavings_Apr_3)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Savings_Investments_MonthlySavings_Apr_4</f>
        <v>0</v>
      </c>
      <c r="O51" s="146" t="e">
        <f>(Savings_Investments_MinSavings_4+Savings_Investments_MonthlySavings_Apr_4)</f>
        <v>#VALUE!</v>
      </c>
      <c r="P51" s="133"/>
      <c r="Q51" s="133"/>
      <c r="R51" s="1"/>
      <c r="T51" s="115"/>
      <c r="U51" s="218" t="str">
        <f>monthlyExpense_Apr9_Name</f>
        <v>Rental</v>
      </c>
      <c r="V51" s="219">
        <f>IFERROR(Expense9_BudgetApr,"")</f>
        <v>0</v>
      </c>
      <c r="W51" s="219">
        <f>IFERROR(Expense9_ActualApr,"")</f>
        <v>0</v>
      </c>
      <c r="X51" s="220">
        <f>MAX(Expense9_ActualApr-Expense9_BudgetApr,0)</f>
        <v>0</v>
      </c>
      <c r="Y51" s="214">
        <f>MAX(Expense9_BudgetApr-Expense9_ActualApr,0)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monthlyExpense_Apr4_Name</f>
        <v xml:space="preserve">Entertainment </v>
      </c>
      <c r="V52" s="219">
        <f>IFERROR(Expense4_BudgetApr,"")</f>
        <v>0</v>
      </c>
      <c r="W52" s="219">
        <f>IFERROR(Expense4_ActualApr,"")</f>
        <v>0</v>
      </c>
      <c r="X52" s="220">
        <f>MAX(Expense4_ActualApr-Expense4_BudgetApr,0)</f>
        <v>0</v>
      </c>
      <c r="Y52" s="214">
        <f>MAX(Expense4_BudgetApr-Expense4_ActualApr,0)</f>
        <v>0</v>
      </c>
      <c r="Z52" s="115"/>
    </row>
    <row r="53" spans="1:26" ht="16.5" thickBot="1" x14ac:dyDescent="0.35">
      <c r="A53" s="1"/>
      <c r="B53" s="152"/>
      <c r="C53" s="152"/>
      <c r="D53" s="152"/>
      <c r="E53" s="152"/>
      <c r="F53" s="152"/>
      <c r="G53" s="154" t="s">
        <v>28</v>
      </c>
      <c r="H53" s="155">
        <f>SUM(Budgeted_Expenses_Apr)</f>
        <v>0</v>
      </c>
      <c r="I53" s="156">
        <f>SUM(Actual_Expenses_Apr)</f>
        <v>0</v>
      </c>
      <c r="J53" s="150">
        <f>SUM(Over_under_expenses_Apr)</f>
        <v>0</v>
      </c>
      <c r="K53" s="152"/>
      <c r="L53" s="152"/>
      <c r="M53" s="152"/>
      <c r="N53" s="152"/>
      <c r="O53" s="152"/>
      <c r="P53" s="133"/>
      <c r="Q53" s="133"/>
      <c r="R53" s="1"/>
      <c r="T53" s="115"/>
      <c r="U53" s="218" t="str">
        <f>monthlyExpense_Apr5_Name</f>
        <v>Black Tax</v>
      </c>
      <c r="V53" s="219">
        <f>IFERROR(Expense5_BudgetApr,"")</f>
        <v>0</v>
      </c>
      <c r="W53" s="219">
        <f>IFERROR(Expense5_ActualApr,"")</f>
        <v>0</v>
      </c>
      <c r="X53" s="220">
        <f>MAX(Expense5_ActualApr-Expense5_BudgetApr,0)</f>
        <v>0</v>
      </c>
      <c r="Y53" s="214">
        <f>MAX(Expense5_BudgetApr-Expense5_ActualApr,0)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monthlyExpense_Apr1_Name</f>
        <v>Airtime/Data</v>
      </c>
      <c r="V54" s="219">
        <f>IFERROR(Expense1_BudgetApr,"")</f>
        <v>0</v>
      </c>
      <c r="W54" s="219">
        <f>IFERROR(Expense1_ActualApr,"")</f>
        <v>0</v>
      </c>
      <c r="X54" s="220">
        <f>MAX(Expense1_ActualApr-Expense1_BudgetApr,0)</f>
        <v>0</v>
      </c>
      <c r="Y54" s="214">
        <f>MAX(Expense1_BudgetApr-Expense1_ActualApr,0)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monthlyExpense_Apr2_Name</f>
        <v>Bank charges</v>
      </c>
      <c r="V55" s="219">
        <f>IFERROR(Expense2_BudgetApr,"")</f>
        <v>0</v>
      </c>
      <c r="W55" s="219">
        <f>IFERROR(Expense2_ActualApr,"")</f>
        <v>0</v>
      </c>
      <c r="X55" s="220">
        <f>MAX(Expense2_ActualApr-Expense2_BudgetApr,0)</f>
        <v>0</v>
      </c>
      <c r="Y55" s="214">
        <f>MAX(Expense2_BudgetApr-Expense2_ActualApr,0)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monthlyExpense_Apr3_Name</f>
        <v>Clothes</v>
      </c>
      <c r="V56" s="219">
        <f>IFERROR(Expense3_BudgetApr,"")</f>
        <v>0</v>
      </c>
      <c r="W56" s="219">
        <f>IFERROR(Expense3_ActualApr,"")</f>
        <v>0</v>
      </c>
      <c r="X56" s="220">
        <f>MAX(Expense3_ActualApr-Expense3_BudgetApr,0)</f>
        <v>0</v>
      </c>
      <c r="Y56" s="214">
        <f>MAX(Expense3_BudgetApr-Expense3_ActualApr,0)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monthlyExpense_Apr6_Name</f>
        <v>Groceries</v>
      </c>
      <c r="V57" s="219">
        <f>IFERROR(Expense6_BudgetApr,"")</f>
        <v>0</v>
      </c>
      <c r="W57" s="219">
        <f>IFERROR(Expense6_ActualApr,"")</f>
        <v>0</v>
      </c>
      <c r="X57" s="220">
        <f>MAX(Expense6_ActualApr-Expense6_BudgetApr,0)</f>
        <v>0</v>
      </c>
      <c r="Y57" s="214">
        <f>MAX(Expense6_BudgetApr-Expense6_ActualApr,0)</f>
        <v>0</v>
      </c>
      <c r="Z57" s="115"/>
    </row>
    <row r="58" spans="1:26" x14ac:dyDescent="0.3">
      <c r="T58" s="115"/>
      <c r="U58" s="218" t="str">
        <f>monthlyExpense_Apr7_Name</f>
        <v>Hair</v>
      </c>
      <c r="V58" s="219">
        <f>IFERROR(Expense7_BudgetApr,"")</f>
        <v>0</v>
      </c>
      <c r="W58" s="219">
        <f>IFERROR(Expense7_ActualApr,"")</f>
        <v>0</v>
      </c>
      <c r="X58" s="220">
        <f>MAX(Expense7_ActualApr-Expense7_BudgetApr,0)</f>
        <v>0</v>
      </c>
      <c r="Y58" s="214">
        <f>MAX(Expense7_BudgetApr-Expense7_ActualApr,0)</f>
        <v>0</v>
      </c>
      <c r="Z58" s="115"/>
    </row>
    <row r="59" spans="1:26" x14ac:dyDescent="0.3">
      <c r="T59" s="115"/>
      <c r="U59" s="218" t="str">
        <f>monthlyExpense_Apr8_Name</f>
        <v>Transport</v>
      </c>
      <c r="V59" s="219">
        <f>IFERROR(Expense8_BudgetApr,"")</f>
        <v>0</v>
      </c>
      <c r="W59" s="219">
        <f>IFERROR(Expense8_ActualApr,"")</f>
        <v>0</v>
      </c>
      <c r="X59" s="220">
        <f>MAX(Expense8_ActualApr-Expense8_BudgetApr,0)</f>
        <v>0</v>
      </c>
      <c r="Y59" s="214">
        <f>MAX(Expense8_BudgetApr-Expense8_ActualApr,0)</f>
        <v>0</v>
      </c>
      <c r="Z59" s="115"/>
    </row>
    <row r="60" spans="1:26" x14ac:dyDescent="0.3">
      <c r="T60" s="115"/>
      <c r="U60" s="218" t="str">
        <f>monthlyExpense_Apr10_Name</f>
        <v xml:space="preserve">Stationery </v>
      </c>
      <c r="V60" s="219">
        <f>IFERROR(Expense10_BudgetApr,"")</f>
        <v>0</v>
      </c>
      <c r="W60" s="219">
        <f>IFERROR(Expense10_ActualApr,"")</f>
        <v>0</v>
      </c>
      <c r="X60" s="220">
        <f>MAX(Expense10_ActualApr-Expense10_BudgetApr,0)</f>
        <v>0</v>
      </c>
      <c r="Y60" s="214">
        <f>MAX(Expense10_BudgetApr-Expense10_ActualApr,0)</f>
        <v>0</v>
      </c>
      <c r="Z60" s="115"/>
    </row>
    <row r="61" spans="1:26" x14ac:dyDescent="0.3">
      <c r="T61" s="115"/>
      <c r="U61" s="218" t="str">
        <f>monthlyExpense_Apr11_Name</f>
        <v xml:space="preserve">Other </v>
      </c>
      <c r="V61" s="219">
        <f>IFERROR(Expense11_BudgetApr,"")</f>
        <v>0</v>
      </c>
      <c r="W61" s="219">
        <f>IFERROR(Expense11_ActualApr,"")</f>
        <v>0</v>
      </c>
      <c r="X61" s="220">
        <f>MAX(Expense10_ActualApr-Expense10_BudgetApr,0)</f>
        <v>0</v>
      </c>
      <c r="Y61" s="214">
        <f>MAX(Expense11_BudgetApr-Expense11_ActualApr,0)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Z70"/>
  <sheetViews>
    <sheetView topLeftCell="B26"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SUM(Formal_May_SubTotal+Informal_May_SubTotal+Friends_family_May_SubTotal)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Formal_May_SubTotal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Total_Income_Actual_May</f>
        <v>0</v>
      </c>
      <c r="C30" s="5"/>
      <c r="D30" s="5"/>
      <c r="E30" s="5"/>
      <c r="F30" s="5"/>
      <c r="G30" s="5"/>
      <c r="H30" s="5"/>
      <c r="I30" s="5"/>
      <c r="J30" s="5"/>
      <c r="K30" s="5"/>
      <c r="L30" s="126" t="str">
        <f>L42</f>
        <v>Goals</v>
      </c>
      <c r="M30" s="5"/>
      <c r="N30" s="126">
        <f>N42</f>
        <v>0</v>
      </c>
      <c r="O30" s="5"/>
      <c r="P30" s="121">
        <f>Informal_May_SubTotal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Total_Expenses_May</f>
        <v>0</v>
      </c>
      <c r="H32" s="5"/>
      <c r="I32" s="5"/>
      <c r="J32" s="5"/>
      <c r="K32" s="5"/>
      <c r="L32" s="123" t="str">
        <f>L47</f>
        <v>Savings and Investments</v>
      </c>
      <c r="M32" s="125"/>
      <c r="N32" s="124">
        <f>N47</f>
        <v>0</v>
      </c>
      <c r="O32" s="5"/>
      <c r="P32" s="132">
        <f>Friends_family_May_SubTotal</f>
        <v>0</v>
      </c>
      <c r="Q32" s="5"/>
      <c r="R32" s="1"/>
    </row>
    <row r="33" spans="1:26" ht="15.75" x14ac:dyDescent="0.3">
      <c r="A33" s="1"/>
      <c r="B33" s="119">
        <f>(Total_Income_Actual_May-Total_Expenses_May)</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1747</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IFERROR(SUM(Goals_MaySavings),"")</f>
        <v>0</v>
      </c>
      <c r="O42" s="113" t="str">
        <f>IFERROR(SUM(Over_under_Goals_May),"")</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Savings_Goal_MonthlySavings_May_1</f>
        <v>0</v>
      </c>
      <c r="O43" s="146" t="e">
        <f>(Savings_Goal_MonthlySavings_May_1+Savings_Goal_MinSavings_1)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Savings_Goal_MonthlySavings_May_2</f>
        <v>0</v>
      </c>
      <c r="O44" s="146" t="e">
        <f>(Savings_Goal_MonthlySavings_May_2+Savings_Goal_MinSavings_2)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Savings_Goal_MonthlySavings_May_3</f>
        <v>0</v>
      </c>
      <c r="O45" s="146" t="e">
        <f>(Savings_Goal_MonthlySavings_May_3+Savings_Goal_MinSavings_3)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Savings_Goal_MonthlySavings_May_4</f>
        <v>0</v>
      </c>
      <c r="O46" s="146" t="e">
        <f>(Savings_Goal_MonthlySavings_May_4+Savings_Goal_MinSavings_4)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IFERROR(SUM(SavingsInvestments_MaySavings),"")</f>
        <v>0</v>
      </c>
      <c r="O47" s="114" t="str">
        <f>IFERROR(SUM(Over_Under_Savings_May),"")</f>
        <v/>
      </c>
      <c r="P47" s="133"/>
      <c r="Q47" s="133"/>
      <c r="R47" s="1"/>
      <c r="T47" s="115"/>
      <c r="U47" s="115" t="s">
        <v>375</v>
      </c>
      <c r="V47" s="209"/>
      <c r="W47" s="212">
        <v>0.5</v>
      </c>
      <c r="X47" s="209"/>
      <c r="Y47" s="213">
        <f>SUM(Total_Expenses_May+Formal_May_SubTotal+Informal_May_SubTotal+Friends_family_May_SubTotal+Goals_May_SubTotal+SavingsInvestments_May_SubTotal)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Savings_Investments_MonthlySavings_May_1</f>
        <v>0</v>
      </c>
      <c r="O48" s="146" t="e">
        <f>(Savings_Investments_MinSavings_1+Savings_Investments_MonthlySavings_May_1)</f>
        <v>#VALUE!</v>
      </c>
      <c r="P48" s="133"/>
      <c r="Q48" s="133"/>
      <c r="R48" s="1"/>
      <c r="T48" s="115"/>
      <c r="U48" s="209"/>
      <c r="V48" s="209"/>
      <c r="W48" s="209"/>
      <c r="X48" s="209"/>
      <c r="Y48" s="214">
        <f>(Total_Income_Actual_May-TOTAL_DEDUCTIONS_May)</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Savings_Investments_MonthlySavings_May_2</f>
        <v>0</v>
      </c>
      <c r="O49" s="146" t="e">
        <f>(Savings_Investments_MinSavings_2+Savings_Investments_MonthlySavings_May_2)</f>
        <v>#VALUE!</v>
      </c>
      <c r="P49" s="133"/>
      <c r="Q49" s="133"/>
      <c r="R49" s="1"/>
      <c r="T49" s="115"/>
      <c r="U49" s="209"/>
      <c r="V49" s="209"/>
      <c r="W49" s="209"/>
      <c r="X49" s="209"/>
      <c r="Y49" s="212" t="e">
        <f>(TOTAL_DEDUCTIONS_May/Total_Income_Actual_May)</f>
        <v>#DIV/0!</v>
      </c>
      <c r="Z49" s="115"/>
    </row>
    <row r="50" spans="1:26" ht="16.5" thickBot="1" x14ac:dyDescent="0.35">
      <c r="A50" s="1"/>
      <c r="B50" s="149" t="s">
        <v>28</v>
      </c>
      <c r="C50" s="150">
        <f>IFERROR(SUM(Budgeted_Income_May),"")</f>
        <v>0</v>
      </c>
      <c r="D50" s="151">
        <f>IFERROR(SUM(Actual_Income_May),"")</f>
        <v>0</v>
      </c>
      <c r="E50" s="150">
        <f>IFERROR(SUM(Over_under_income_May),"")</f>
        <v>0</v>
      </c>
      <c r="F50" s="141"/>
      <c r="G50" s="142" t="s">
        <v>17</v>
      </c>
      <c r="H50" s="143">
        <v>0</v>
      </c>
      <c r="I50" s="143">
        <v>0</v>
      </c>
      <c r="J50" s="144">
        <f t="shared" si="0"/>
        <v>0</v>
      </c>
      <c r="K50" s="141"/>
      <c r="L50" s="148">
        <f>Savings_Investments_3</f>
        <v>0</v>
      </c>
      <c r="M50" s="146" t="e">
        <f>-Savings_Investments_MinSavings_3</f>
        <v>#VALUE!</v>
      </c>
      <c r="N50" s="110">
        <f>Savings_Investments_MonthlySavings_May_3</f>
        <v>0</v>
      </c>
      <c r="O50" s="146" t="e">
        <f>(Savings_Investments_MinSavings_3+Savings_Investments_MonthlySavings_May_3)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Savings_Investments_MonthlySavings_May_4</f>
        <v>0</v>
      </c>
      <c r="O51" s="146" t="e">
        <f>(Savings_Investments_MinSavings_4+Savings_Investments_MonthlySavings_May_4)</f>
        <v>#VALUE!</v>
      </c>
      <c r="P51" s="133"/>
      <c r="Q51" s="133"/>
      <c r="R51" s="1"/>
      <c r="T51" s="115"/>
      <c r="U51" s="218" t="str">
        <f>monthlyExpense_May9_Name</f>
        <v>Rental</v>
      </c>
      <c r="V51" s="219">
        <f>IFERROR(Expense9_BudgetMay,"")</f>
        <v>0</v>
      </c>
      <c r="W51" s="219">
        <f>IFERROR(Expense9_ActualMay,"")</f>
        <v>0</v>
      </c>
      <c r="X51" s="220">
        <f>MAX(Expense9_ActualMay-Expense9_BudgetMay,0)</f>
        <v>0</v>
      </c>
      <c r="Y51" s="214">
        <f>MAX(Expense9_BudgetMay-Expense9_ActualMay,0)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monthlyExpense_May4_Name</f>
        <v xml:space="preserve">Entertainment </v>
      </c>
      <c r="V52" s="219">
        <f>IFERROR(Expense4_BudgetMay,"")</f>
        <v>0</v>
      </c>
      <c r="W52" s="219">
        <f>IFERROR(Expense4ActualMay,"")</f>
        <v>0</v>
      </c>
      <c r="X52" s="220">
        <f>MAX(Expense4ActualMay-Expense4_BudgetMay,0)</f>
        <v>0</v>
      </c>
      <c r="Y52" s="214">
        <f>MAX(Expense4_BudgetMay-Expense4ActualMay,0)</f>
        <v>0</v>
      </c>
      <c r="Z52" s="115"/>
    </row>
    <row r="53" spans="1:26" ht="16.5" thickBot="1" x14ac:dyDescent="0.35">
      <c r="A53" s="1"/>
      <c r="B53" s="152"/>
      <c r="C53" s="152"/>
      <c r="D53" s="152"/>
      <c r="E53" s="152"/>
      <c r="F53" s="152"/>
      <c r="G53" s="154" t="s">
        <v>28</v>
      </c>
      <c r="H53" s="155">
        <f>SUM(Budgeted_Expenses_May)</f>
        <v>0</v>
      </c>
      <c r="I53" s="156">
        <f>SUM(Actual_Expenses_May)</f>
        <v>0</v>
      </c>
      <c r="J53" s="150">
        <f>SUM(Over_under_expenses_May)</f>
        <v>0</v>
      </c>
      <c r="K53" s="152"/>
      <c r="L53" s="152"/>
      <c r="M53" s="152"/>
      <c r="N53" s="152"/>
      <c r="O53" s="152"/>
      <c r="P53" s="133"/>
      <c r="Q53" s="133"/>
      <c r="R53" s="1"/>
      <c r="T53" s="115"/>
      <c r="U53" s="218" t="str">
        <f>monthlyExpense_May5_Name</f>
        <v>Black Tax</v>
      </c>
      <c r="V53" s="219">
        <f>IFERROR(Expense5_BudgetMay,"")</f>
        <v>0</v>
      </c>
      <c r="W53" s="219">
        <f>IFERROR(Expense5_ActualMay,"")</f>
        <v>0</v>
      </c>
      <c r="X53" s="220">
        <f>MAX(Expense5_ActualMay-Expense5_BudgetMay,0)</f>
        <v>0</v>
      </c>
      <c r="Y53" s="214">
        <f>MAX(Expense5_BudgetMay-Expense5_ActualMay,0)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monthlyExpense_May1_Name</f>
        <v>Airtime/Data</v>
      </c>
      <c r="V54" s="219">
        <f>IFERROR(Expense1_BudgetMay,"")</f>
        <v>0</v>
      </c>
      <c r="W54" s="219">
        <f>IFERROR(Expense1_ActualMay,"")</f>
        <v>0</v>
      </c>
      <c r="X54" s="220">
        <f>MAX(Expense1_ActualMay-Expense1_BudgetMay,0)</f>
        <v>0</v>
      </c>
      <c r="Y54" s="214">
        <f>MAX(Expense1_BudgetMay-Expense1_ActualMay,0)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monthlyExpense_May2_Name</f>
        <v>Bank charges</v>
      </c>
      <c r="V55" s="219">
        <f>IFERROR(Expense2_BudgetMay,"")</f>
        <v>0</v>
      </c>
      <c r="W55" s="219">
        <f>IFERROR(Expense2_ActualMay,"")</f>
        <v>0</v>
      </c>
      <c r="X55" s="220">
        <f>MAX(Expense2_ActualMay-Expense2_BudgetMay,0)</f>
        <v>0</v>
      </c>
      <c r="Y55" s="214">
        <f>MAX(Expense2_BudgetMay-Expense2_ActualMay,0)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monthlyExpense_May3_Name</f>
        <v>Clothes</v>
      </c>
      <c r="V56" s="219">
        <f>IFERROR(Expense3_BudgetMay,"")</f>
        <v>0</v>
      </c>
      <c r="W56" s="219">
        <f>IFERROR(Expense3_ActualMay,"")</f>
        <v>0</v>
      </c>
      <c r="X56" s="220">
        <f>MAX(Expense3_ActualMay-Expense3_BudgetMay,0)</f>
        <v>0</v>
      </c>
      <c r="Y56" s="214">
        <f>MAX(Expense3_BudgetMay-Expense3_ActualMay,0)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monthlyExpense_May6_Name</f>
        <v>Groceries</v>
      </c>
      <c r="V57" s="219">
        <f>IFERROR(Expense6_BudgetMay,"")</f>
        <v>0</v>
      </c>
      <c r="W57" s="219">
        <f>IFERROR(Expense6ActualMay,"")</f>
        <v>0</v>
      </c>
      <c r="X57" s="220">
        <f>MAX(Expense6ActualMay-Expense6_BudgetMay,0)</f>
        <v>0</v>
      </c>
      <c r="Y57" s="214">
        <f>MAX(Expense6_BudgetMay-Expense6ActualMay,0)</f>
        <v>0</v>
      </c>
      <c r="Z57" s="115"/>
    </row>
    <row r="58" spans="1:26" x14ac:dyDescent="0.3">
      <c r="T58" s="115"/>
      <c r="U58" s="218" t="str">
        <f>monthlyExpense_May7_Name</f>
        <v>Hair</v>
      </c>
      <c r="V58" s="219">
        <f>IFERROR(Expense7_BudgetMay,"")</f>
        <v>0</v>
      </c>
      <c r="W58" s="219">
        <f>IFERROR(Expense7_ActualMay,"")</f>
        <v>0</v>
      </c>
      <c r="X58" s="220">
        <f>MAX(Expense7_ActualMay-Expense7_BudgetMay,0)</f>
        <v>0</v>
      </c>
      <c r="Y58" s="214">
        <f>MAX(Expense7_BudgetMay-Expense7_ActualMay,0)</f>
        <v>0</v>
      </c>
      <c r="Z58" s="115"/>
    </row>
    <row r="59" spans="1:26" x14ac:dyDescent="0.3">
      <c r="T59" s="115"/>
      <c r="U59" s="218" t="str">
        <f>monthlyExpense_May8_Name</f>
        <v>Transport</v>
      </c>
      <c r="V59" s="219">
        <f>IFERROR(Expense8_BudgetMay,"")</f>
        <v>0</v>
      </c>
      <c r="W59" s="219">
        <f>IFERROR(Expense8_ActualMay,"")</f>
        <v>0</v>
      </c>
      <c r="X59" s="220">
        <f>MAX(Expense8_ActualMay-Expense8_BudgetMay,0)</f>
        <v>0</v>
      </c>
      <c r="Y59" s="214">
        <f>MAX(Expense8_BudgetMay-Expense8_ActualMay,0)</f>
        <v>0</v>
      </c>
      <c r="Z59" s="115"/>
    </row>
    <row r="60" spans="1:26" x14ac:dyDescent="0.3">
      <c r="T60" s="115"/>
      <c r="U60" s="218" t="str">
        <f>monthlyExpense_May10_Name</f>
        <v xml:space="preserve">Stationery </v>
      </c>
      <c r="V60" s="219">
        <f>IFERROR(Expense10_BudgetMay,"")</f>
        <v>0</v>
      </c>
      <c r="W60" s="219">
        <f>IFERROR(Expense10_ActualMay,"")</f>
        <v>0</v>
      </c>
      <c r="X60" s="220">
        <f>MAX(Expense10_ActualMay-Expense10_BudgetMay,0)</f>
        <v>0</v>
      </c>
      <c r="Y60" s="214">
        <f>MAX(Expense10_BudgetMay-Expense10_ActualMay,0)</f>
        <v>0</v>
      </c>
      <c r="Z60" s="115"/>
    </row>
    <row r="61" spans="1:26" x14ac:dyDescent="0.3">
      <c r="T61" s="115"/>
      <c r="U61" s="218" t="str">
        <f>monthlyExpense_May11_Name</f>
        <v xml:space="preserve">Other </v>
      </c>
      <c r="V61" s="219">
        <f>IFERROR(Expense11_BudgetMay,"")</f>
        <v>0</v>
      </c>
      <c r="W61" s="219">
        <f>IFERROR(Expense11_ActualMay,"")</f>
        <v>0</v>
      </c>
      <c r="X61" s="220">
        <f>MAX(Expense10_ActualMay-Expense10_BudgetMay,0)</f>
        <v>0</v>
      </c>
      <c r="Y61" s="214">
        <f>MAX(Expense11_BudgetMay-Expense11_ActualMay,0)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Z70"/>
  <sheetViews>
    <sheetView topLeftCell="A16"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SUM(Formal_Jun_SubTotal+Informal_Jun_SubTotal+Friends_family_Jun_SubTotal)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Formal_Jun_SubTotal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Total_Income_Actual_Jun</f>
        <v>0</v>
      </c>
      <c r="C30" s="5"/>
      <c r="D30" s="5"/>
      <c r="E30" s="5"/>
      <c r="F30" s="5"/>
      <c r="G30" s="5"/>
      <c r="H30" s="5"/>
      <c r="I30" s="5"/>
      <c r="J30" s="5"/>
      <c r="K30" s="5"/>
      <c r="L30" s="126" t="str">
        <f>L42</f>
        <v>Goals</v>
      </c>
      <c r="M30" s="5"/>
      <c r="N30" s="126">
        <f>N42</f>
        <v>0</v>
      </c>
      <c r="O30" s="5"/>
      <c r="P30" s="121">
        <f>Informal_Jun_SubTotal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Total_Expenses_Jun</f>
        <v>0</v>
      </c>
      <c r="H32" s="5"/>
      <c r="I32" s="5"/>
      <c r="J32" s="5"/>
      <c r="K32" s="5"/>
      <c r="L32" s="123" t="str">
        <f>L47</f>
        <v>Savings and Investments</v>
      </c>
      <c r="M32" s="125"/>
      <c r="N32" s="124">
        <f>N47</f>
        <v>0</v>
      </c>
      <c r="O32" s="5"/>
      <c r="P32" s="132">
        <f>Friends_family_Jun_SubTotal</f>
        <v>0</v>
      </c>
      <c r="Q32" s="5"/>
      <c r="R32" s="1"/>
    </row>
    <row r="33" spans="1:26" ht="15.75" x14ac:dyDescent="0.3">
      <c r="A33" s="1"/>
      <c r="B33" s="119">
        <f>(Total_Income_Actual_Jun-Total_Expenses_Jun)</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1748</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IFERROR(SUM(Goals_JunSavings),"")</f>
        <v>0</v>
      </c>
      <c r="O42" s="113" t="str">
        <f>IFERROR(SUM(Over_under_Goals_Jun),"")</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Savings_Goal_MonthlySavings_Jun_1</f>
        <v>0</v>
      </c>
      <c r="O43" s="146" t="e">
        <f>(Savings_Goal_MonthlySavings_Jun_1+Savings_Goal_MinSavings_1)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Savings_Goal_MonthlySavings_Jun_2</f>
        <v>0</v>
      </c>
      <c r="O44" s="146" t="e">
        <f>(Savings_Goal_MonthlySavings_Jun_2+Savings_Goal_MinSavings_2)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Savings_Goal_MonthlySavings_Jun_3</f>
        <v>0</v>
      </c>
      <c r="O45" s="146" t="e">
        <f>(Savings_Goal_MonthlySavings_Jun_3+Savings_Goal_MinSavings_3)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Savings_Goal_MonthlySavings_Jun_4</f>
        <v>0</v>
      </c>
      <c r="O46" s="146" t="e">
        <f>(Savings_Goal_MonthlySavings_Jun_4+Savings_Goal_MinSavings_4)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IFERROR(SUM(SavingsInvestments_JunSavings),"")</f>
        <v>0</v>
      </c>
      <c r="O47" s="114" t="str">
        <f>IFERROR(SUM(Over_Under_Savings_Jun),"")</f>
        <v/>
      </c>
      <c r="P47" s="133"/>
      <c r="Q47" s="133"/>
      <c r="R47" s="1"/>
      <c r="T47" s="115"/>
      <c r="U47" s="115" t="s">
        <v>375</v>
      </c>
      <c r="V47" s="209"/>
      <c r="W47" s="212">
        <v>0.5</v>
      </c>
      <c r="X47" s="209"/>
      <c r="Y47" s="213">
        <f>SUM(Total_Expenses_Jun+Formal_Jun_SubTotal+Informal_Jun_SubTotal+Friends_family_Jun_SubTotal+Goals_Jun_SubTotal+SavingsInvestments_Jun_SubTotal)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Savings_Investments_MonthlySavings_Jun_1</f>
        <v>0</v>
      </c>
      <c r="O48" s="146" t="e">
        <f>(Savings_Investments_MinSavings_1+Savings_Investments_MonthlySavings_Jun_1)</f>
        <v>#VALUE!</v>
      </c>
      <c r="P48" s="133"/>
      <c r="Q48" s="133"/>
      <c r="R48" s="1"/>
      <c r="T48" s="115"/>
      <c r="U48" s="209"/>
      <c r="V48" s="209"/>
      <c r="W48" s="209"/>
      <c r="X48" s="209"/>
      <c r="Y48" s="214">
        <f>(Total_Income_Actual_Jun-TOTAL_DEDUCTIONS_Jun)</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Savings_Investments_MonthlySavings_Jun_2</f>
        <v>0</v>
      </c>
      <c r="O49" s="146" t="e">
        <f>(Savings_Investments_MinSavings_2+Savings_Investments_MonthlySavings_Jun_2)</f>
        <v>#VALUE!</v>
      </c>
      <c r="P49" s="133"/>
      <c r="Q49" s="133"/>
      <c r="R49" s="1"/>
      <c r="T49" s="115"/>
      <c r="U49" s="209"/>
      <c r="V49" s="209"/>
      <c r="W49" s="209"/>
      <c r="X49" s="209"/>
      <c r="Y49" s="212" t="e">
        <f>(TOTAL_DEDUCTIONS_Jun/Total_Income_Actual_Jun)</f>
        <v>#DIV/0!</v>
      </c>
      <c r="Z49" s="115"/>
    </row>
    <row r="50" spans="1:26" ht="16.5" thickBot="1" x14ac:dyDescent="0.35">
      <c r="A50" s="1"/>
      <c r="B50" s="149" t="s">
        <v>28</v>
      </c>
      <c r="C50" s="150">
        <f>IFERROR(SUM(Budgeted_Income_Jun),"")</f>
        <v>0</v>
      </c>
      <c r="D50" s="151">
        <f>IFERROR(SUM(Actual_Income_Jun),"")</f>
        <v>0</v>
      </c>
      <c r="E50" s="150">
        <f>IFERROR(SUM(Over_under_income_Jan),"")</f>
        <v>0</v>
      </c>
      <c r="F50" s="141"/>
      <c r="G50" s="142" t="s">
        <v>17</v>
      </c>
      <c r="H50" s="143">
        <v>0</v>
      </c>
      <c r="I50" s="143">
        <v>0</v>
      </c>
      <c r="J50" s="144">
        <f t="shared" si="0"/>
        <v>0</v>
      </c>
      <c r="K50" s="141"/>
      <c r="L50" s="148">
        <f>Savings_Investments_3</f>
        <v>0</v>
      </c>
      <c r="M50" s="146" t="e">
        <f>-Savings_Investments_MinSavings_3</f>
        <v>#VALUE!</v>
      </c>
      <c r="N50" s="110">
        <f>Savings_Investments_MonthlySavings_Jun_3</f>
        <v>0</v>
      </c>
      <c r="O50" s="146" t="e">
        <f>(Savings_Investments_MinSavings_3+Savings_Investments_MonthlySavings_Jun_3)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Savings_Investments_MonthlySavings_Jun_4</f>
        <v>0</v>
      </c>
      <c r="O51" s="146" t="e">
        <f>(Savings_Investments_MinSavings_4+Savings_Investments_MonthlySavings_Jun_4)</f>
        <v>#VALUE!</v>
      </c>
      <c r="P51" s="133"/>
      <c r="Q51" s="133"/>
      <c r="R51" s="1"/>
      <c r="T51" s="115"/>
      <c r="U51" s="218" t="str">
        <f>monthlyExpense_Jun9_Name</f>
        <v>Rental</v>
      </c>
      <c r="V51" s="219">
        <f>IFERROR(Expense9_BudgetJun,"")</f>
        <v>0</v>
      </c>
      <c r="W51" s="219">
        <f>IFERROR(Expense9_ActualJun,"")</f>
        <v>0</v>
      </c>
      <c r="X51" s="220">
        <f>MAX(Expense9_ActualJun-Expense9_BudgetJun,0)</f>
        <v>0</v>
      </c>
      <c r="Y51" s="214">
        <f>MAX(Expense9_BudgetJun-Expense9_ActualJun,0)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monthlyExpense_Jun4_Name</f>
        <v xml:space="preserve">Entertainment </v>
      </c>
      <c r="V52" s="219">
        <f>IFERROR(Expense4_BudgetJun,"")</f>
        <v>0</v>
      </c>
      <c r="W52" s="219">
        <f>IFERROR(Expense4_ActualJun,"")</f>
        <v>0</v>
      </c>
      <c r="X52" s="220">
        <f>MAX(Expense4_ActualJun-Expense4_BudgetJun,0)</f>
        <v>0</v>
      </c>
      <c r="Y52" s="214">
        <f>MAX(Expense4_BudgetJun-Expense4_ActualJun,0)</f>
        <v>0</v>
      </c>
      <c r="Z52" s="115"/>
    </row>
    <row r="53" spans="1:26" ht="16.5" thickBot="1" x14ac:dyDescent="0.35">
      <c r="A53" s="1"/>
      <c r="B53" s="152"/>
      <c r="C53" s="152"/>
      <c r="D53" s="152"/>
      <c r="E53" s="152"/>
      <c r="F53" s="152"/>
      <c r="G53" s="154" t="s">
        <v>28</v>
      </c>
      <c r="H53" s="155">
        <f>SUM(Budgeted_Expenses_Jun)</f>
        <v>0</v>
      </c>
      <c r="I53" s="156">
        <f>SUM(Actual_Expenses_Jun)</f>
        <v>0</v>
      </c>
      <c r="J53" s="150">
        <f>SUM(Over_under_expenses_Jun)</f>
        <v>0</v>
      </c>
      <c r="K53" s="152"/>
      <c r="L53" s="152"/>
      <c r="M53" s="152"/>
      <c r="N53" s="152"/>
      <c r="O53" s="152"/>
      <c r="P53" s="133"/>
      <c r="Q53" s="133"/>
      <c r="R53" s="1"/>
      <c r="T53" s="115"/>
      <c r="U53" s="218" t="str">
        <f>monthlyExpense_Jun5_Name</f>
        <v>Black Tax</v>
      </c>
      <c r="V53" s="219">
        <f>IFERROR(Expense5_BudgetJun,"")</f>
        <v>0</v>
      </c>
      <c r="W53" s="219">
        <f>IFERROR(Expense5_ActualJun,"")</f>
        <v>0</v>
      </c>
      <c r="X53" s="220">
        <f>MAX(Expense5_ActualJun-Expense5_BudgetJun,0)</f>
        <v>0</v>
      </c>
      <c r="Y53" s="214">
        <f>MAX(Expense5_BudgetJun-Expense5_ActualJun,0)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monthlyExpense_Jun1_Name</f>
        <v>Airtime/Data</v>
      </c>
      <c r="V54" s="219">
        <f>IFERROR(Expense1_BudgetJun,"")</f>
        <v>0</v>
      </c>
      <c r="W54" s="219">
        <f>IFERROR(Expense1_ActualJun,"")</f>
        <v>0</v>
      </c>
      <c r="X54" s="220">
        <f>MAX(Expense1_ActualJun-Expense1_BudgetJun,0)</f>
        <v>0</v>
      </c>
      <c r="Y54" s="214">
        <f>MAX(Expense1_BudgetJun-Expense1_ActualJun,0)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monthlyExpense_Jun2_Name</f>
        <v>Bank charges</v>
      </c>
      <c r="V55" s="219">
        <f>IFERROR(Expense2_BudgetJun,"")</f>
        <v>0</v>
      </c>
      <c r="W55" s="219">
        <f>IFERROR(Expense2_ActualJun,"")</f>
        <v>0</v>
      </c>
      <c r="X55" s="220">
        <f>MAX(Expense2_ActualJun-Expense2_BudgetJun,0)</f>
        <v>0</v>
      </c>
      <c r="Y55" s="214">
        <f>MAX(Expense2_BudgetJun-Expense2_ActualJun,0)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monthlyExpense_Jun3_Name</f>
        <v>Clothes</v>
      </c>
      <c r="V56" s="219">
        <f>IFERROR(Expense3_BudgetJun,"")</f>
        <v>0</v>
      </c>
      <c r="W56" s="219">
        <f>IFERROR(Expense3_ActualJun,"")</f>
        <v>0</v>
      </c>
      <c r="X56" s="220">
        <f>MAX(Expense3_ActualJun-Expense3_BudgetJun,0)</f>
        <v>0</v>
      </c>
      <c r="Y56" s="214">
        <f>MAX(Expense3_BudgetJun-Expense3_ActualJun,0)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monthlyExpense_Jun6_Name</f>
        <v>Groceries</v>
      </c>
      <c r="V57" s="219">
        <f>IFERROR(Expense6_BudgetJun,"")</f>
        <v>0</v>
      </c>
      <c r="W57" s="219">
        <f>IFERROR(Expense6_ActualJun,"")</f>
        <v>0</v>
      </c>
      <c r="X57" s="220">
        <f>MAX(Expense6_ActualJun-Expense6_BudgetJun,0)</f>
        <v>0</v>
      </c>
      <c r="Y57" s="214">
        <f>MAX(Expense6_BudgetJun-Expense6_ActualJun,0)</f>
        <v>0</v>
      </c>
      <c r="Z57" s="115"/>
    </row>
    <row r="58" spans="1:26" x14ac:dyDescent="0.3">
      <c r="T58" s="115"/>
      <c r="U58" s="218" t="str">
        <f>monthlyExpense_Jun7_Name</f>
        <v>Hair</v>
      </c>
      <c r="V58" s="219">
        <f>IFERROR(Expense7_BudgetJun,"")</f>
        <v>0</v>
      </c>
      <c r="W58" s="219">
        <f>IFERROR(Expense7_ActualJun,"")</f>
        <v>0</v>
      </c>
      <c r="X58" s="220">
        <f>MAX(Expense7_ActualJun-Expense7_BudgetJun,0)</f>
        <v>0</v>
      </c>
      <c r="Y58" s="214">
        <f>MAX(Expense7_BudgetJun-Expense7_ActualJun,0)</f>
        <v>0</v>
      </c>
      <c r="Z58" s="115"/>
    </row>
    <row r="59" spans="1:26" x14ac:dyDescent="0.3">
      <c r="T59" s="115"/>
      <c r="U59" s="218" t="str">
        <f>monthlyExpense_Jun8_Name</f>
        <v>Transport</v>
      </c>
      <c r="V59" s="219">
        <f>IFERROR(Expense8_BudgetJun,"")</f>
        <v>0</v>
      </c>
      <c r="W59" s="219">
        <f>IFERROR(Expense8_ActualJun,"")</f>
        <v>0</v>
      </c>
      <c r="X59" s="220">
        <f>MAX(Expense8_ActualJun-Expense8_BudgetJun,0)</f>
        <v>0</v>
      </c>
      <c r="Y59" s="214">
        <f>MAX(Expense8_BudgetJun-Expense8_ActualJun,0)</f>
        <v>0</v>
      </c>
      <c r="Z59" s="115"/>
    </row>
    <row r="60" spans="1:26" x14ac:dyDescent="0.3">
      <c r="T60" s="115"/>
      <c r="U60" s="218" t="str">
        <f>monthlyExpense_Jun10_Name</f>
        <v xml:space="preserve">Stationery </v>
      </c>
      <c r="V60" s="219">
        <f>IFERROR(Expense10_BudgetJun,"")</f>
        <v>0</v>
      </c>
      <c r="W60" s="219">
        <f>IFERROR(Expense10_ActualJun,"")</f>
        <v>0</v>
      </c>
      <c r="X60" s="220">
        <f>MAX(Expense10_ActualJun-Expense10_BudgetJun,0)</f>
        <v>0</v>
      </c>
      <c r="Y60" s="214">
        <f>MAX(Expense10_BudgetJun-Expense10_ActualJun,0)</f>
        <v>0</v>
      </c>
      <c r="Z60" s="115"/>
    </row>
    <row r="61" spans="1:26" x14ac:dyDescent="0.3">
      <c r="T61" s="115"/>
      <c r="U61" s="218" t="str">
        <f>monthlyExpense_Jun11_Name</f>
        <v xml:space="preserve">Other </v>
      </c>
      <c r="V61" s="219">
        <f>IFERROR(Expense11_BudgetJun,"")</f>
        <v>0</v>
      </c>
      <c r="W61" s="219">
        <f>IFERROR(Expense11_ActualJun,"")</f>
        <v>0</v>
      </c>
      <c r="X61" s="220">
        <f>MAX(Expense10_ActualJun-Expense10_BudgetJun,0)</f>
        <v>0</v>
      </c>
      <c r="Y61" s="214">
        <f>MAX(Expense11_BudgetJun-Expense11_ActualJun,0)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Z70"/>
  <sheetViews>
    <sheetView topLeftCell="A19" workbookViewId="0">
      <selection activeCell="B42" sqref="B42"/>
    </sheetView>
  </sheetViews>
  <sheetFormatPr defaultRowHeight="14.25" x14ac:dyDescent="0.3"/>
  <cols>
    <col min="2" max="2" width="23" customWidth="1"/>
    <col min="3" max="3" width="12.7109375" customWidth="1"/>
    <col min="4" max="4" width="13.140625" customWidth="1"/>
    <col min="5" max="5" width="13" customWidth="1"/>
    <col min="6" max="6" width="3.7109375" customWidth="1"/>
    <col min="7" max="7" width="24.85546875" customWidth="1"/>
    <col min="8" max="8" width="13.28515625" customWidth="1"/>
    <col min="9" max="9" width="12.85546875" customWidth="1"/>
    <col min="10" max="10" width="13" customWidth="1"/>
    <col min="11" max="11" width="3.28515625" customWidth="1"/>
    <col min="12" max="12" width="21.28515625" customWidth="1"/>
    <col min="13" max="13" width="13.85546875" customWidth="1"/>
    <col min="14" max="14" width="15" customWidth="1"/>
    <col min="15" max="15" width="14" customWidth="1"/>
    <col min="16" max="16" width="18" bestFit="1" customWidth="1"/>
    <col min="21" max="21" width="13.5703125" bestFit="1" customWidth="1"/>
    <col min="22" max="22" width="14" bestFit="1" customWidth="1"/>
    <col min="24" max="24" width="14.7109375" bestFit="1" customWidth="1"/>
    <col min="25" max="25" width="13.42578125" bestFit="1" customWidth="1"/>
  </cols>
  <sheetData>
    <row r="1" spans="1:18" ht="15.75" x14ac:dyDescent="0.3">
      <c r="A1" s="1"/>
      <c r="B1" s="1"/>
      <c r="C1" s="1"/>
      <c r="D1" s="1"/>
      <c r="E1" s="1"/>
      <c r="F1" s="1"/>
      <c r="G1" s="1"/>
      <c r="H1" s="1"/>
      <c r="I1" s="1"/>
      <c r="J1" s="1"/>
      <c r="K1" s="1"/>
      <c r="L1" s="1"/>
      <c r="M1" s="1"/>
      <c r="N1" s="1"/>
      <c r="O1" s="1"/>
      <c r="P1" s="1"/>
      <c r="Q1" s="1"/>
      <c r="R1" s="1"/>
    </row>
    <row r="2" spans="1:18" ht="15.75" x14ac:dyDescent="0.3">
      <c r="A2" s="1"/>
      <c r="B2" s="1"/>
      <c r="C2" s="1"/>
      <c r="D2" s="1"/>
      <c r="E2" s="1"/>
      <c r="F2" s="1"/>
      <c r="G2" s="1"/>
      <c r="H2" s="1"/>
      <c r="I2" s="1"/>
      <c r="J2" s="1"/>
      <c r="K2" s="1"/>
      <c r="L2" s="1"/>
      <c r="M2" s="1"/>
      <c r="N2" s="1"/>
      <c r="O2" s="1"/>
      <c r="P2" s="1"/>
      <c r="Q2" s="1"/>
      <c r="R2" s="1"/>
    </row>
    <row r="3" spans="1:18" ht="15.75" x14ac:dyDescent="0.3">
      <c r="A3" s="1"/>
      <c r="B3" s="2"/>
      <c r="C3" s="2"/>
      <c r="D3" s="2"/>
      <c r="E3" s="2"/>
      <c r="F3" s="2"/>
      <c r="G3" s="2"/>
      <c r="H3" s="2"/>
      <c r="I3" s="2"/>
      <c r="J3" s="2"/>
      <c r="K3" s="2"/>
      <c r="L3" s="2"/>
      <c r="M3" s="2"/>
      <c r="N3" s="2"/>
      <c r="O3" s="2"/>
      <c r="P3" s="2"/>
      <c r="Q3" s="2"/>
      <c r="R3" s="1"/>
    </row>
    <row r="4" spans="1:18" ht="15.75" x14ac:dyDescent="0.3">
      <c r="A4" s="1"/>
      <c r="B4" s="2"/>
      <c r="C4" s="2"/>
      <c r="D4" s="2"/>
      <c r="E4" s="2"/>
      <c r="F4" s="2"/>
      <c r="G4" s="2"/>
      <c r="H4" s="2"/>
      <c r="I4" s="2"/>
      <c r="J4" s="2"/>
      <c r="K4" s="2"/>
      <c r="L4" s="2"/>
      <c r="M4" s="2"/>
      <c r="N4" s="2"/>
      <c r="O4" s="2"/>
      <c r="P4" s="2"/>
      <c r="Q4" s="2"/>
      <c r="R4" s="1"/>
    </row>
    <row r="5" spans="1:18" ht="15.75" x14ac:dyDescent="0.3">
      <c r="A5" s="1"/>
      <c r="B5" s="2"/>
      <c r="C5" s="2"/>
      <c r="D5" s="2"/>
      <c r="E5" s="2"/>
      <c r="F5" s="2"/>
      <c r="G5" s="2"/>
      <c r="H5" s="2"/>
      <c r="I5" s="2"/>
      <c r="J5" s="2"/>
      <c r="K5" s="2"/>
      <c r="L5" s="2"/>
      <c r="M5" s="2"/>
      <c r="N5" s="2"/>
      <c r="O5" s="2"/>
      <c r="P5" s="2"/>
      <c r="Q5" s="2"/>
      <c r="R5" s="1"/>
    </row>
    <row r="6" spans="1:18" ht="15.75" x14ac:dyDescent="0.3">
      <c r="A6" s="1"/>
      <c r="B6" s="2"/>
      <c r="C6" s="2"/>
      <c r="D6" s="2"/>
      <c r="E6" s="2"/>
      <c r="F6" s="2"/>
      <c r="G6" s="2"/>
      <c r="H6" s="2"/>
      <c r="I6" s="2"/>
      <c r="J6" s="2"/>
      <c r="K6" s="2"/>
      <c r="L6" s="2"/>
      <c r="M6" s="2"/>
      <c r="N6" s="2"/>
      <c r="O6" s="2"/>
      <c r="P6" s="2"/>
      <c r="Q6" s="2"/>
      <c r="R6" s="1"/>
    </row>
    <row r="7" spans="1:18" ht="15.75" x14ac:dyDescent="0.3">
      <c r="A7" s="1"/>
      <c r="B7" s="2"/>
      <c r="C7" s="2"/>
      <c r="D7" s="2"/>
      <c r="E7" s="2"/>
      <c r="F7" s="2"/>
      <c r="G7" s="2"/>
      <c r="H7" s="2"/>
      <c r="I7" s="2"/>
      <c r="J7" s="2"/>
      <c r="K7" s="2"/>
      <c r="L7" s="2"/>
      <c r="M7" s="2"/>
      <c r="N7" s="2"/>
      <c r="O7" s="2"/>
      <c r="P7" s="2"/>
      <c r="Q7" s="2"/>
      <c r="R7" s="1"/>
    </row>
    <row r="8" spans="1:18" ht="15.75" x14ac:dyDescent="0.3">
      <c r="A8" s="1"/>
      <c r="B8" s="3" t="s">
        <v>0</v>
      </c>
      <c r="C8" s="4"/>
      <c r="D8" s="4"/>
      <c r="E8" s="4"/>
      <c r="F8" s="4"/>
      <c r="G8" s="2"/>
      <c r="H8" s="2"/>
      <c r="I8" s="2"/>
      <c r="J8" s="2"/>
      <c r="K8" s="2"/>
      <c r="L8" s="2"/>
      <c r="M8" s="2"/>
      <c r="N8" s="2"/>
      <c r="O8" s="2"/>
      <c r="P8" s="2"/>
      <c r="Q8" s="2"/>
      <c r="R8" s="1"/>
    </row>
    <row r="9" spans="1:18" ht="15.75" x14ac:dyDescent="0.3">
      <c r="A9" s="1"/>
      <c r="B9" s="2"/>
      <c r="C9" s="2"/>
      <c r="D9" s="2"/>
      <c r="E9" s="2"/>
      <c r="F9" s="2"/>
      <c r="G9" s="2"/>
      <c r="H9" s="2"/>
      <c r="I9" s="2"/>
      <c r="J9" s="2"/>
      <c r="K9" s="2"/>
      <c r="L9" s="2"/>
      <c r="M9" s="2"/>
      <c r="N9" s="2"/>
      <c r="O9" s="2"/>
      <c r="P9" s="2"/>
      <c r="Q9" s="2"/>
      <c r="R9" s="1"/>
    </row>
    <row r="10" spans="1:18" ht="15.75" x14ac:dyDescent="0.3">
      <c r="A10" s="1"/>
      <c r="B10" s="5"/>
      <c r="C10" s="5"/>
      <c r="D10" s="5"/>
      <c r="E10" s="5"/>
      <c r="F10" s="5"/>
      <c r="G10" s="5"/>
      <c r="H10" s="5"/>
      <c r="I10" s="5"/>
      <c r="J10" s="5"/>
      <c r="K10" s="5"/>
      <c r="L10" s="5"/>
      <c r="M10" s="5"/>
      <c r="N10" s="5"/>
      <c r="O10" s="5"/>
      <c r="P10" s="5"/>
      <c r="Q10" s="5"/>
      <c r="R10" s="1"/>
    </row>
    <row r="11" spans="1:18" ht="15.75" x14ac:dyDescent="0.3">
      <c r="A11" s="1"/>
      <c r="B11" s="5"/>
      <c r="C11" s="5"/>
      <c r="D11" s="5"/>
      <c r="E11" s="5"/>
      <c r="F11" s="5"/>
      <c r="G11" s="5"/>
      <c r="H11" s="5"/>
      <c r="I11" s="5"/>
      <c r="J11" s="5"/>
      <c r="K11" s="5"/>
      <c r="L11" s="5"/>
      <c r="M11" s="5"/>
      <c r="N11" s="5"/>
      <c r="O11" s="5"/>
      <c r="P11" s="5"/>
      <c r="Q11" s="5"/>
      <c r="R11" s="1"/>
    </row>
    <row r="12" spans="1:18" ht="15.75" x14ac:dyDescent="0.3">
      <c r="A12" s="1"/>
      <c r="B12" s="5"/>
      <c r="C12" s="5"/>
      <c r="D12" s="5"/>
      <c r="E12" s="5"/>
      <c r="F12" s="5"/>
      <c r="G12" s="5"/>
      <c r="H12" s="5"/>
      <c r="I12" s="5"/>
      <c r="J12" s="5"/>
      <c r="K12" s="5"/>
      <c r="L12" s="5"/>
      <c r="M12" s="5"/>
      <c r="N12" s="5"/>
      <c r="O12" s="5"/>
      <c r="P12" s="5"/>
      <c r="Q12" s="5"/>
      <c r="R12" s="1"/>
    </row>
    <row r="13" spans="1:18" ht="15.75" x14ac:dyDescent="0.3">
      <c r="A13" s="1"/>
      <c r="B13" s="5"/>
      <c r="C13" s="5"/>
      <c r="D13" s="5"/>
      <c r="E13" s="5"/>
      <c r="F13" s="5"/>
      <c r="G13" s="5"/>
      <c r="H13" s="5"/>
      <c r="I13" s="5"/>
      <c r="J13" s="5"/>
      <c r="K13" s="5"/>
      <c r="L13" s="5"/>
      <c r="M13" s="5"/>
      <c r="N13" s="5"/>
      <c r="O13" s="5"/>
      <c r="P13" s="5"/>
      <c r="Q13" s="5"/>
      <c r="R13" s="1"/>
    </row>
    <row r="14" spans="1:18" ht="15.75" x14ac:dyDescent="0.3">
      <c r="A14" s="1"/>
      <c r="B14" s="5"/>
      <c r="C14" s="5"/>
      <c r="D14" s="5"/>
      <c r="E14" s="5"/>
      <c r="F14" s="5"/>
      <c r="G14" s="5"/>
      <c r="H14" s="5"/>
      <c r="I14" s="5"/>
      <c r="J14" s="5"/>
      <c r="K14" s="5"/>
      <c r="L14" s="5"/>
      <c r="M14" s="5"/>
      <c r="N14" s="5"/>
      <c r="O14" s="5"/>
      <c r="P14" s="5"/>
      <c r="Q14" s="5"/>
      <c r="R14" s="1"/>
    </row>
    <row r="15" spans="1:18" ht="15.75" x14ac:dyDescent="0.3">
      <c r="A15" s="1"/>
      <c r="B15" s="5"/>
      <c r="C15" s="5"/>
      <c r="D15" s="5"/>
      <c r="E15" s="5"/>
      <c r="F15" s="5"/>
      <c r="G15" s="5"/>
      <c r="H15" s="5"/>
      <c r="I15" s="5"/>
      <c r="J15" s="5"/>
      <c r="K15" s="5"/>
      <c r="L15" s="5"/>
      <c r="M15" s="5"/>
      <c r="N15" s="5"/>
      <c r="O15" s="5"/>
      <c r="P15" s="5"/>
      <c r="Q15" s="5"/>
      <c r="R15" s="1"/>
    </row>
    <row r="16" spans="1:18" ht="15.75" x14ac:dyDescent="0.3">
      <c r="A16" s="1"/>
      <c r="B16" s="5"/>
      <c r="C16" s="5"/>
      <c r="D16" s="5"/>
      <c r="E16" s="5"/>
      <c r="F16" s="5"/>
      <c r="G16" s="5"/>
      <c r="H16" s="5"/>
      <c r="I16" s="5"/>
      <c r="J16" s="5"/>
      <c r="K16" s="5"/>
      <c r="L16" s="5"/>
      <c r="M16" s="5"/>
      <c r="N16" s="5"/>
      <c r="O16" s="5"/>
      <c r="P16" s="5"/>
      <c r="Q16" s="5"/>
      <c r="R16" s="1"/>
    </row>
    <row r="17" spans="1:18" ht="15.75" x14ac:dyDescent="0.3">
      <c r="A17" s="1"/>
      <c r="B17" s="5"/>
      <c r="C17" s="5"/>
      <c r="D17" s="5"/>
      <c r="E17" s="5"/>
      <c r="F17" s="5"/>
      <c r="G17" s="5"/>
      <c r="H17" s="5"/>
      <c r="I17" s="5"/>
      <c r="J17" s="5"/>
      <c r="K17" s="5"/>
      <c r="L17" s="5"/>
      <c r="M17" s="5"/>
      <c r="N17" s="5"/>
      <c r="O17" s="5"/>
      <c r="P17" s="5"/>
      <c r="Q17" s="5"/>
      <c r="R17" s="1"/>
    </row>
    <row r="18" spans="1:18" ht="15.75" x14ac:dyDescent="0.3">
      <c r="A18" s="1"/>
      <c r="B18" s="5"/>
      <c r="C18" s="5"/>
      <c r="D18" s="5"/>
      <c r="E18" s="5"/>
      <c r="F18" s="5"/>
      <c r="G18" s="5"/>
      <c r="H18" s="5"/>
      <c r="I18" s="5"/>
      <c r="J18" s="5"/>
      <c r="K18" s="5"/>
      <c r="L18" s="5"/>
      <c r="M18" s="5"/>
      <c r="N18" s="5"/>
      <c r="O18" s="5"/>
      <c r="P18" s="5"/>
      <c r="Q18" s="5"/>
      <c r="R18" s="1"/>
    </row>
    <row r="19" spans="1:18" ht="15.75" x14ac:dyDescent="0.3">
      <c r="A19" s="1"/>
      <c r="B19" s="5"/>
      <c r="C19" s="5"/>
      <c r="D19" s="5"/>
      <c r="E19" s="5"/>
      <c r="F19" s="5"/>
      <c r="G19" s="5"/>
      <c r="H19" s="5"/>
      <c r="I19" s="5"/>
      <c r="J19" s="5"/>
      <c r="K19" s="5"/>
      <c r="L19" s="5"/>
      <c r="M19" s="5"/>
      <c r="N19" s="5"/>
      <c r="O19" s="5"/>
      <c r="P19" s="5"/>
      <c r="Q19" s="5"/>
      <c r="R19" s="1"/>
    </row>
    <row r="20" spans="1:18" ht="15.75" x14ac:dyDescent="0.3">
      <c r="A20" s="1"/>
      <c r="B20" s="5"/>
      <c r="C20" s="5"/>
      <c r="D20" s="5"/>
      <c r="E20" s="5"/>
      <c r="F20" s="5"/>
      <c r="G20" s="5"/>
      <c r="H20" s="5"/>
      <c r="I20" s="5"/>
      <c r="J20" s="5"/>
      <c r="K20" s="5"/>
      <c r="L20" s="5"/>
      <c r="M20" s="5"/>
      <c r="N20" s="5"/>
      <c r="O20" s="5"/>
      <c r="P20" s="5"/>
      <c r="Q20" s="5"/>
      <c r="R20" s="1"/>
    </row>
    <row r="21" spans="1:18" ht="15.75" x14ac:dyDescent="0.3">
      <c r="A21" s="1"/>
      <c r="B21" s="5"/>
      <c r="C21" s="5"/>
      <c r="D21" s="5"/>
      <c r="E21" s="5"/>
      <c r="F21" s="5"/>
      <c r="G21" s="5"/>
      <c r="H21" s="5"/>
      <c r="I21" s="5"/>
      <c r="J21" s="5"/>
      <c r="K21" s="5"/>
      <c r="L21" s="5"/>
      <c r="M21" s="5"/>
      <c r="N21" s="5"/>
      <c r="O21" s="5"/>
      <c r="P21" s="5"/>
      <c r="Q21" s="5"/>
      <c r="R21" s="1"/>
    </row>
    <row r="22" spans="1:18" ht="15.75" x14ac:dyDescent="0.3">
      <c r="A22" s="1"/>
      <c r="B22" s="5"/>
      <c r="C22" s="5"/>
      <c r="D22" s="5"/>
      <c r="E22" s="5"/>
      <c r="F22" s="5"/>
      <c r="G22" s="5"/>
      <c r="H22" s="5"/>
      <c r="I22" s="5"/>
      <c r="J22" s="5"/>
      <c r="K22" s="5"/>
      <c r="L22" s="5"/>
      <c r="M22" s="5"/>
      <c r="N22" s="5"/>
      <c r="O22" s="5"/>
      <c r="P22" s="5"/>
      <c r="Q22" s="5"/>
      <c r="R22" s="1"/>
    </row>
    <row r="23" spans="1:18" ht="15.75" x14ac:dyDescent="0.3">
      <c r="A23" s="1"/>
      <c r="B23" s="5"/>
      <c r="C23" s="5"/>
      <c r="D23" s="5"/>
      <c r="E23" s="5"/>
      <c r="F23" s="5"/>
      <c r="G23" s="5"/>
      <c r="H23" s="5"/>
      <c r="I23" s="5"/>
      <c r="J23" s="5"/>
      <c r="K23" s="5"/>
      <c r="L23" s="5"/>
      <c r="M23" s="5"/>
      <c r="N23" s="5"/>
      <c r="O23" s="5"/>
      <c r="P23" s="5"/>
      <c r="Q23" s="5"/>
      <c r="R23" s="1"/>
    </row>
    <row r="24" spans="1:18" ht="15.75" x14ac:dyDescent="0.3">
      <c r="A24" s="1"/>
      <c r="B24" s="5"/>
      <c r="C24" s="5"/>
      <c r="D24" s="5"/>
      <c r="E24" s="5"/>
      <c r="F24" s="5"/>
      <c r="G24" s="5"/>
      <c r="H24" s="5"/>
      <c r="I24" s="5"/>
      <c r="J24" s="5"/>
      <c r="K24" s="5"/>
      <c r="L24" s="5"/>
      <c r="M24" s="5"/>
      <c r="N24" s="5"/>
      <c r="O24" s="5"/>
      <c r="P24" s="5"/>
      <c r="Q24" s="5"/>
      <c r="R24" s="1"/>
    </row>
    <row r="25" spans="1:18" ht="16.5" x14ac:dyDescent="0.3">
      <c r="A25" s="1"/>
      <c r="B25" s="5"/>
      <c r="C25" s="5"/>
      <c r="D25" s="5"/>
      <c r="E25" s="5"/>
      <c r="F25" s="5"/>
      <c r="G25" s="5"/>
      <c r="H25" s="5"/>
      <c r="I25" s="5"/>
      <c r="J25" s="5"/>
      <c r="K25" s="5"/>
      <c r="L25" s="5"/>
      <c r="M25" s="5"/>
      <c r="N25" s="5"/>
      <c r="O25" s="5"/>
      <c r="P25" s="127" t="s">
        <v>381</v>
      </c>
      <c r="Q25" s="5"/>
      <c r="R25" s="1"/>
    </row>
    <row r="26" spans="1:18" ht="16.5" x14ac:dyDescent="0.3">
      <c r="A26" s="1"/>
      <c r="B26" s="5"/>
      <c r="C26" s="5"/>
      <c r="D26" s="5"/>
      <c r="E26" s="5"/>
      <c r="F26" s="5"/>
      <c r="G26" s="5"/>
      <c r="H26" s="5"/>
      <c r="I26" s="5"/>
      <c r="J26" s="5"/>
      <c r="K26" s="5"/>
      <c r="L26" s="5"/>
      <c r="M26" s="5"/>
      <c r="N26" s="5"/>
      <c r="O26" s="5"/>
      <c r="P26" s="122">
        <f>SUM(Formal_Jul_SubTotal+Informal_Jul_SubTotal+Friends_family_Jul_SubTotal)</f>
        <v>0</v>
      </c>
      <c r="Q26" s="5"/>
      <c r="R26" s="1"/>
    </row>
    <row r="27" spans="1:18" ht="15.75" x14ac:dyDescent="0.3">
      <c r="A27" s="1"/>
      <c r="B27" s="5"/>
      <c r="C27" s="5"/>
      <c r="D27" s="5"/>
      <c r="E27" s="5"/>
      <c r="F27" s="5"/>
      <c r="G27" s="5"/>
      <c r="H27" s="5"/>
      <c r="I27" s="5"/>
      <c r="J27" s="5"/>
      <c r="K27" s="5"/>
      <c r="L27" s="5"/>
      <c r="M27" s="5"/>
      <c r="N27" s="5"/>
      <c r="O27" s="5"/>
      <c r="P27" s="129" t="str">
        <f>'Financial Scorecard'!B21</f>
        <v>Formal &amp; Retail</v>
      </c>
      <c r="Q27" s="5"/>
      <c r="R27" s="1"/>
    </row>
    <row r="28" spans="1:18" ht="15.75" x14ac:dyDescent="0.3">
      <c r="A28" s="1"/>
      <c r="B28" s="5"/>
      <c r="C28" s="5"/>
      <c r="D28" s="5"/>
      <c r="E28" s="5"/>
      <c r="F28" s="5"/>
      <c r="G28" s="5"/>
      <c r="H28" s="5"/>
      <c r="I28" s="5"/>
      <c r="J28" s="5"/>
      <c r="K28" s="5"/>
      <c r="L28" s="5"/>
      <c r="M28" s="5"/>
      <c r="N28" s="5"/>
      <c r="O28" s="5"/>
      <c r="P28" s="130">
        <f>Formal_Jul_SubTotal</f>
        <v>0</v>
      </c>
      <c r="Q28" s="5"/>
      <c r="R28" s="1"/>
    </row>
    <row r="29" spans="1:18" ht="15.75" x14ac:dyDescent="0.3">
      <c r="A29" s="1"/>
      <c r="B29" s="5"/>
      <c r="C29" s="5"/>
      <c r="D29" s="5"/>
      <c r="E29" s="5"/>
      <c r="F29" s="5"/>
      <c r="G29" s="5"/>
      <c r="H29" s="5"/>
      <c r="I29" s="5"/>
      <c r="J29" s="5"/>
      <c r="K29" s="5"/>
      <c r="L29" s="5"/>
      <c r="M29" s="5"/>
      <c r="N29" s="5"/>
      <c r="O29" s="5"/>
      <c r="P29" s="128" t="str">
        <f>'Financial Scorecard'!B32</f>
        <v xml:space="preserve">Informal </v>
      </c>
      <c r="Q29" s="5"/>
      <c r="R29" s="1"/>
    </row>
    <row r="30" spans="1:18" ht="16.5" x14ac:dyDescent="0.3">
      <c r="A30" s="1"/>
      <c r="B30" s="120">
        <f>Total_Income_Actual_Jul</f>
        <v>0</v>
      </c>
      <c r="C30" s="5"/>
      <c r="D30" s="5"/>
      <c r="E30" s="5"/>
      <c r="F30" s="5"/>
      <c r="G30" s="5"/>
      <c r="H30" s="5"/>
      <c r="I30" s="5"/>
      <c r="J30" s="5"/>
      <c r="K30" s="5"/>
      <c r="L30" s="126" t="str">
        <f>L42</f>
        <v>Goals</v>
      </c>
      <c r="M30" s="5"/>
      <c r="N30" s="126">
        <f>N42</f>
        <v>0</v>
      </c>
      <c r="O30" s="5"/>
      <c r="P30" s="121">
        <f>Informal_Jul_SubTotal</f>
        <v>0</v>
      </c>
      <c r="Q30" s="5"/>
      <c r="R30" s="1"/>
    </row>
    <row r="31" spans="1:18" ht="15.75" x14ac:dyDescent="0.3">
      <c r="A31" s="1"/>
      <c r="B31" s="5"/>
      <c r="C31" s="5"/>
      <c r="D31" s="5"/>
      <c r="E31" s="5"/>
      <c r="F31" s="5"/>
      <c r="G31" s="5"/>
      <c r="H31" s="5"/>
      <c r="I31" s="5"/>
      <c r="J31" s="5"/>
      <c r="K31" s="5"/>
      <c r="L31" s="5"/>
      <c r="M31" s="5"/>
      <c r="N31" s="5"/>
      <c r="O31" s="5"/>
      <c r="P31" s="131" t="str">
        <f>'Financial Scorecard'!B40</f>
        <v>Family &amp; Friends</v>
      </c>
      <c r="Q31" s="5"/>
      <c r="R31" s="1"/>
    </row>
    <row r="32" spans="1:18" ht="16.5" x14ac:dyDescent="0.3">
      <c r="A32" s="1"/>
      <c r="B32" s="5" t="s">
        <v>378</v>
      </c>
      <c r="C32" s="5"/>
      <c r="D32" s="5"/>
      <c r="E32" s="5"/>
      <c r="F32" s="5"/>
      <c r="G32" s="122">
        <f>Total_Expenses_Jul</f>
        <v>0</v>
      </c>
      <c r="H32" s="5"/>
      <c r="I32" s="5"/>
      <c r="J32" s="5"/>
      <c r="K32" s="5"/>
      <c r="L32" s="123" t="str">
        <f>L47</f>
        <v>Savings and Investments</v>
      </c>
      <c r="M32" s="125"/>
      <c r="N32" s="124">
        <f>N47</f>
        <v>0</v>
      </c>
      <c r="O32" s="5"/>
      <c r="P32" s="132">
        <f>Friends_family_Jul_SubTotal</f>
        <v>0</v>
      </c>
      <c r="Q32" s="5"/>
      <c r="R32" s="1"/>
    </row>
    <row r="33" spans="1:26" ht="15.75" x14ac:dyDescent="0.3">
      <c r="A33" s="1"/>
      <c r="B33" s="119">
        <f>(Total_Income_Actual_Jul-Total_Expenses_Jul)</f>
        <v>0</v>
      </c>
      <c r="C33" s="5"/>
      <c r="D33" s="5"/>
      <c r="E33" s="5"/>
      <c r="F33" s="5"/>
      <c r="G33" s="5"/>
      <c r="H33" s="5"/>
      <c r="I33" s="5"/>
      <c r="J33" s="5"/>
      <c r="K33" s="5"/>
      <c r="L33" s="5"/>
      <c r="M33" s="5"/>
      <c r="N33" s="5"/>
      <c r="O33" s="5"/>
      <c r="P33" s="5"/>
      <c r="Q33" s="5"/>
      <c r="R33" s="1"/>
    </row>
    <row r="34" spans="1:26" ht="15.75" x14ac:dyDescent="0.3">
      <c r="A34" s="1"/>
      <c r="B34" s="5"/>
      <c r="C34" s="5"/>
      <c r="D34" s="5"/>
      <c r="E34" s="5"/>
      <c r="F34" s="5"/>
      <c r="G34" s="5"/>
      <c r="H34" s="5"/>
      <c r="I34" s="5"/>
      <c r="J34" s="5"/>
      <c r="K34" s="5"/>
      <c r="L34" s="5"/>
      <c r="M34" s="5"/>
      <c r="N34" s="5"/>
      <c r="O34" s="5"/>
      <c r="P34" s="133"/>
      <c r="Q34" s="5"/>
      <c r="R34" s="1"/>
    </row>
    <row r="35" spans="1:26" ht="15.75" x14ac:dyDescent="0.3">
      <c r="A35" s="1"/>
      <c r="B35" s="133"/>
      <c r="C35" s="133"/>
      <c r="D35" s="133"/>
      <c r="E35" s="133"/>
      <c r="F35" s="133"/>
      <c r="G35" s="133"/>
      <c r="H35" s="133"/>
      <c r="I35" s="133"/>
      <c r="J35" s="133"/>
      <c r="K35" s="133"/>
      <c r="L35" s="133"/>
      <c r="M35" s="133"/>
      <c r="N35" s="133"/>
      <c r="O35" s="133"/>
      <c r="P35" s="133"/>
      <c r="Q35" s="133"/>
      <c r="R35" s="1"/>
    </row>
    <row r="36" spans="1:26" ht="15.75" x14ac:dyDescent="0.3">
      <c r="A36" s="1"/>
      <c r="B36" s="135"/>
      <c r="C36" s="135"/>
      <c r="D36" s="135"/>
      <c r="E36" s="135"/>
      <c r="F36" s="135"/>
      <c r="G36" s="135"/>
      <c r="H36" s="135"/>
      <c r="I36" s="135"/>
      <c r="J36" s="135"/>
      <c r="K36" s="135"/>
      <c r="L36" s="135"/>
      <c r="M36" s="135"/>
      <c r="N36" s="135"/>
      <c r="O36" s="135"/>
      <c r="P36" s="135"/>
      <c r="Q36" s="135"/>
      <c r="R36" s="1"/>
      <c r="T36" s="171"/>
    </row>
    <row r="37" spans="1:26" ht="15.75" x14ac:dyDescent="0.3">
      <c r="A37" s="1"/>
      <c r="B37" s="135"/>
      <c r="C37" s="135"/>
      <c r="D37" s="135"/>
      <c r="E37" s="135"/>
      <c r="F37" s="135"/>
      <c r="G37" s="135"/>
      <c r="H37" s="135"/>
      <c r="I37" s="135"/>
      <c r="J37" s="135"/>
      <c r="K37" s="135"/>
      <c r="L37" s="135"/>
      <c r="M37" s="135"/>
      <c r="N37" s="135"/>
      <c r="O37" s="135"/>
      <c r="P37" s="135"/>
      <c r="Q37" s="135"/>
      <c r="R37" s="1"/>
      <c r="T37" s="103"/>
      <c r="U37" s="103"/>
      <c r="V37" s="103"/>
      <c r="W37" s="103"/>
      <c r="X37" s="103"/>
      <c r="Y37" s="103"/>
      <c r="Z37" s="103"/>
    </row>
    <row r="38" spans="1:26" ht="15.75" x14ac:dyDescent="0.3">
      <c r="A38" s="1"/>
      <c r="B38" s="133"/>
      <c r="C38" s="133"/>
      <c r="D38" s="133"/>
      <c r="E38" s="133"/>
      <c r="F38" s="133"/>
      <c r="G38" s="133"/>
      <c r="H38" s="133"/>
      <c r="I38" s="133"/>
      <c r="J38" s="133"/>
      <c r="K38" s="133"/>
      <c r="L38" s="133"/>
      <c r="M38" s="133"/>
      <c r="N38" s="133"/>
      <c r="O38" s="133"/>
      <c r="P38" s="133"/>
      <c r="Q38" s="133"/>
      <c r="R38" s="1"/>
      <c r="T38" s="103"/>
      <c r="U38" s="103"/>
      <c r="V38" s="103"/>
      <c r="W38" s="103"/>
      <c r="X38" s="103"/>
      <c r="Y38" s="103"/>
      <c r="Z38" s="103"/>
    </row>
    <row r="39" spans="1:26" ht="15.75" x14ac:dyDescent="0.3">
      <c r="A39" s="1"/>
      <c r="B39" s="269" t="s">
        <v>1749</v>
      </c>
      <c r="C39" s="269"/>
      <c r="D39" s="269"/>
      <c r="E39" s="6"/>
      <c r="F39" s="6"/>
      <c r="G39" s="6"/>
      <c r="H39" s="6"/>
      <c r="I39" s="6"/>
      <c r="J39" s="6"/>
      <c r="K39" s="6"/>
      <c r="L39" s="6"/>
      <c r="M39" s="6"/>
      <c r="N39" s="6"/>
      <c r="O39" s="6"/>
      <c r="P39" s="6"/>
      <c r="Q39" s="6"/>
      <c r="R39" s="1"/>
      <c r="T39" s="103"/>
      <c r="U39" s="103"/>
      <c r="V39" s="103"/>
      <c r="W39" s="103"/>
      <c r="X39" s="103"/>
      <c r="Y39" s="103"/>
      <c r="Z39" s="103"/>
    </row>
    <row r="40" spans="1:26" ht="15.75" x14ac:dyDescent="0.3">
      <c r="A40" s="1"/>
      <c r="B40" s="7" t="s">
        <v>2</v>
      </c>
      <c r="C40" s="7"/>
      <c r="D40" s="7"/>
      <c r="E40" s="7"/>
      <c r="F40" s="2"/>
      <c r="G40" s="8" t="s">
        <v>15</v>
      </c>
      <c r="H40" s="2"/>
      <c r="I40" s="2"/>
      <c r="J40" s="2"/>
      <c r="K40" s="2"/>
      <c r="L40" s="270" t="s">
        <v>24</v>
      </c>
      <c r="M40" s="270"/>
      <c r="N40" s="270"/>
      <c r="O40" s="270"/>
      <c r="P40" s="133"/>
      <c r="Q40" s="133"/>
      <c r="R40" s="1"/>
      <c r="T40" s="115"/>
      <c r="U40" s="115"/>
      <c r="V40" s="115"/>
      <c r="W40" s="115"/>
      <c r="X40" s="115"/>
      <c r="Y40" s="115"/>
      <c r="Z40" s="115"/>
    </row>
    <row r="41" spans="1:26" ht="15.75" x14ac:dyDescent="0.3">
      <c r="A41" s="1"/>
      <c r="B41" s="157" t="s">
        <v>3</v>
      </c>
      <c r="C41" s="158" t="s">
        <v>4</v>
      </c>
      <c r="D41" s="158" t="s">
        <v>5</v>
      </c>
      <c r="E41" s="159" t="s">
        <v>6</v>
      </c>
      <c r="F41" s="141"/>
      <c r="G41" s="160" t="s">
        <v>16</v>
      </c>
      <c r="H41" s="161" t="s">
        <v>4</v>
      </c>
      <c r="I41" s="161" t="s">
        <v>5</v>
      </c>
      <c r="J41" s="162" t="s">
        <v>6</v>
      </c>
      <c r="K41" s="141"/>
      <c r="L41" s="163" t="s">
        <v>25</v>
      </c>
      <c r="M41" s="164" t="s">
        <v>4</v>
      </c>
      <c r="N41" s="164" t="s">
        <v>5</v>
      </c>
      <c r="O41" s="165" t="s">
        <v>6</v>
      </c>
      <c r="P41" s="133"/>
      <c r="Q41" s="133"/>
      <c r="R41" s="1"/>
      <c r="T41" s="115"/>
      <c r="U41" s="271" t="s">
        <v>367</v>
      </c>
      <c r="V41" s="271"/>
      <c r="W41" s="271"/>
      <c r="X41" s="271"/>
      <c r="Y41" s="115"/>
      <c r="Z41" s="115"/>
    </row>
    <row r="42" spans="1:26" ht="16.5" thickBot="1" x14ac:dyDescent="0.35">
      <c r="A42" s="1"/>
      <c r="B42" s="147" t="s">
        <v>7</v>
      </c>
      <c r="C42" s="166">
        <v>0</v>
      </c>
      <c r="D42" s="167">
        <v>0</v>
      </c>
      <c r="E42" s="140">
        <f>(C42-D42)</f>
        <v>0</v>
      </c>
      <c r="F42" s="141"/>
      <c r="G42" s="142" t="s">
        <v>21</v>
      </c>
      <c r="H42" s="143">
        <v>0</v>
      </c>
      <c r="I42" s="143">
        <v>0</v>
      </c>
      <c r="J42" s="144">
        <f t="shared" ref="J42:J52" si="0">(H42-I42)</f>
        <v>0</v>
      </c>
      <c r="K42" s="141"/>
      <c r="L42" s="112" t="s">
        <v>26</v>
      </c>
      <c r="M42" s="113">
        <f>IFERROR(-SUM(Goals_MinSavings),"")</f>
        <v>0</v>
      </c>
      <c r="N42" s="113">
        <f>IFERROR(SUM(Goals_JulSavings),"")</f>
        <v>0</v>
      </c>
      <c r="O42" s="113" t="str">
        <f>IFERROR(SUM(Over_under_Goals_Jul),"")</f>
        <v/>
      </c>
      <c r="P42" s="133"/>
      <c r="Q42" s="133"/>
      <c r="R42" s="1"/>
      <c r="T42" s="115"/>
      <c r="U42" s="209" t="s">
        <v>368</v>
      </c>
      <c r="V42" s="210" t="e">
        <f>$Y$49</f>
        <v>#DIV/0!</v>
      </c>
      <c r="W42" s="210">
        <v>0.01</v>
      </c>
      <c r="X42" s="211" t="e">
        <f>150%-SUM(V42:W42)</f>
        <v>#DIV/0!</v>
      </c>
      <c r="Y42" s="115"/>
      <c r="Z42" s="115"/>
    </row>
    <row r="43" spans="1:26" ht="15.75" x14ac:dyDescent="0.3">
      <c r="A43" s="1"/>
      <c r="B43" s="147" t="s">
        <v>8</v>
      </c>
      <c r="C43" s="166">
        <v>0</v>
      </c>
      <c r="D43" s="167">
        <v>0</v>
      </c>
      <c r="E43" s="140">
        <f t="shared" ref="E43:E49" si="1">(C43-D43)</f>
        <v>0</v>
      </c>
      <c r="F43" s="141"/>
      <c r="G43" s="142" t="s">
        <v>57</v>
      </c>
      <c r="H43" s="143">
        <v>0</v>
      </c>
      <c r="I43" s="143">
        <v>0</v>
      </c>
      <c r="J43" s="144">
        <f t="shared" si="0"/>
        <v>0</v>
      </c>
      <c r="K43" s="141"/>
      <c r="L43" s="145">
        <f>IFERROR(Savings_Goal_1,"")</f>
        <v>0</v>
      </c>
      <c r="M43" s="146" t="str">
        <f>IFERROR(-Savings_Goal_MinSavings_1,"")</f>
        <v/>
      </c>
      <c r="N43" s="110">
        <f>Savings_Goal_MonthlySavings_Jul_1</f>
        <v>0</v>
      </c>
      <c r="O43" s="146" t="e">
        <f>(Savings_Goal_MonthlySavings_Jul_1+Savings_Goal_MinSavings_1)</f>
        <v>#VALUE!</v>
      </c>
      <c r="P43" s="133"/>
      <c r="Q43" s="133"/>
      <c r="R43" s="1"/>
      <c r="T43" s="115"/>
      <c r="U43" s="209"/>
      <c r="V43" s="209"/>
      <c r="W43" s="209"/>
      <c r="X43" s="209"/>
      <c r="Y43" s="115"/>
      <c r="Z43" s="115"/>
    </row>
    <row r="44" spans="1:26" ht="15.75" x14ac:dyDescent="0.3">
      <c r="A44" s="1"/>
      <c r="B44" s="142" t="s">
        <v>9</v>
      </c>
      <c r="C44" s="166">
        <v>0</v>
      </c>
      <c r="D44" s="167">
        <v>0</v>
      </c>
      <c r="E44" s="140">
        <f t="shared" si="1"/>
        <v>0</v>
      </c>
      <c r="F44" s="141"/>
      <c r="G44" s="142" t="s">
        <v>18</v>
      </c>
      <c r="H44" s="143">
        <v>0</v>
      </c>
      <c r="I44" s="143">
        <v>0</v>
      </c>
      <c r="J44" s="144">
        <f t="shared" si="0"/>
        <v>0</v>
      </c>
      <c r="K44" s="141"/>
      <c r="L44" s="145">
        <f>IFERROR(Savings_Goal_2,"")</f>
        <v>0</v>
      </c>
      <c r="M44" s="146" t="str">
        <f>IFERROR(-Savings_Goal_MinSavings_2,"")</f>
        <v/>
      </c>
      <c r="N44" s="110">
        <f>Savings_Goal_MonthlySavings_Jul_2</f>
        <v>0</v>
      </c>
      <c r="O44" s="146" t="e">
        <f>(Savings_Goal_MonthlySavings_Jul_2+Savings_Goal_MinSavings_2)</f>
        <v>#VALUE!</v>
      </c>
      <c r="P44" s="133"/>
      <c r="Q44" s="133"/>
      <c r="R44" s="1"/>
      <c r="T44" s="115"/>
      <c r="U44" s="115" t="s">
        <v>373</v>
      </c>
      <c r="V44" s="115" t="s">
        <v>370</v>
      </c>
      <c r="W44" s="212">
        <v>0.35</v>
      </c>
      <c r="X44" s="209"/>
      <c r="Y44" s="115"/>
      <c r="Z44" s="115"/>
    </row>
    <row r="45" spans="1:26" ht="15.75" x14ac:dyDescent="0.3">
      <c r="A45" s="1"/>
      <c r="B45" s="142" t="s">
        <v>10</v>
      </c>
      <c r="C45" s="166">
        <v>0</v>
      </c>
      <c r="D45" s="167">
        <v>0</v>
      </c>
      <c r="E45" s="140">
        <f t="shared" si="1"/>
        <v>0</v>
      </c>
      <c r="F45" s="141"/>
      <c r="G45" s="142" t="s">
        <v>22</v>
      </c>
      <c r="H45" s="143">
        <v>0</v>
      </c>
      <c r="I45" s="143">
        <v>0</v>
      </c>
      <c r="J45" s="144">
        <f t="shared" si="0"/>
        <v>0</v>
      </c>
      <c r="K45" s="141"/>
      <c r="L45" s="145">
        <f>IFERROR(Savings_Goal_3,"")</f>
        <v>0</v>
      </c>
      <c r="M45" s="146" t="str">
        <f>IFERROR(-Savings_Goal_MinSavings_3,"")</f>
        <v/>
      </c>
      <c r="N45" s="110">
        <f>Savings_Goal_MonthlySavings_Jul_3</f>
        <v>0</v>
      </c>
      <c r="O45" s="146" t="e">
        <f>(Savings_Goal_MonthlySavings_Jul_3+Savings_Goal_MinSavings_3)</f>
        <v>#VALUE!</v>
      </c>
      <c r="P45" s="133"/>
      <c r="Q45" s="133"/>
      <c r="R45" s="1"/>
      <c r="T45" s="115"/>
      <c r="U45" s="115" t="s">
        <v>371</v>
      </c>
      <c r="V45" s="115" t="s">
        <v>372</v>
      </c>
      <c r="W45" s="212">
        <v>0.35</v>
      </c>
      <c r="X45" s="209"/>
      <c r="Y45" s="115"/>
      <c r="Z45" s="115"/>
    </row>
    <row r="46" spans="1:26" ht="15.75" x14ac:dyDescent="0.3">
      <c r="A46" s="1"/>
      <c r="B46" s="168" t="s">
        <v>11</v>
      </c>
      <c r="C46" s="167">
        <v>0</v>
      </c>
      <c r="D46" s="167">
        <v>0</v>
      </c>
      <c r="E46" s="140">
        <f t="shared" si="1"/>
        <v>0</v>
      </c>
      <c r="F46" s="141"/>
      <c r="G46" s="147" t="s">
        <v>377</v>
      </c>
      <c r="H46" s="143">
        <v>0</v>
      </c>
      <c r="I46" s="143">
        <v>0</v>
      </c>
      <c r="J46" s="144">
        <f t="shared" si="0"/>
        <v>0</v>
      </c>
      <c r="K46" s="141"/>
      <c r="L46" s="145">
        <f>IFERROR(Savings_Goal_4,"")</f>
        <v>0</v>
      </c>
      <c r="M46" s="146" t="str">
        <f>IFERROR(-Savings_Goal_MinSavings_4,"")</f>
        <v/>
      </c>
      <c r="N46" s="110">
        <f>Savings_Goal_MonthlySavings_Jul_4</f>
        <v>0</v>
      </c>
      <c r="O46" s="146" t="e">
        <f>(Savings_Goal_MonthlySavings_Jul_4+Savings_Goal_MinSavings_4)</f>
        <v>#VALUE!</v>
      </c>
      <c r="P46" s="133"/>
      <c r="Q46" s="133"/>
      <c r="R46" s="1"/>
      <c r="T46" s="115"/>
      <c r="U46" s="115" t="s">
        <v>369</v>
      </c>
      <c r="V46" s="115" t="s">
        <v>374</v>
      </c>
      <c r="W46" s="212">
        <v>0.3</v>
      </c>
      <c r="X46" s="209"/>
      <c r="Y46" s="115"/>
      <c r="Z46" s="115"/>
    </row>
    <row r="47" spans="1:26" ht="16.5" thickBot="1" x14ac:dyDescent="0.35">
      <c r="A47" s="1"/>
      <c r="B47" s="169" t="s">
        <v>12</v>
      </c>
      <c r="C47" s="167">
        <v>0</v>
      </c>
      <c r="D47" s="167">
        <v>0</v>
      </c>
      <c r="E47" s="140">
        <f t="shared" si="1"/>
        <v>0</v>
      </c>
      <c r="F47" s="141"/>
      <c r="G47" s="142" t="s">
        <v>380</v>
      </c>
      <c r="H47" s="143">
        <v>0</v>
      </c>
      <c r="I47" s="143">
        <v>0</v>
      </c>
      <c r="J47" s="144">
        <f t="shared" si="0"/>
        <v>0</v>
      </c>
      <c r="K47" s="141"/>
      <c r="L47" s="111" t="s">
        <v>27</v>
      </c>
      <c r="M47" s="114">
        <f>IFERROR(-SUM(SavingInvestments_MinSavings),"")</f>
        <v>0</v>
      </c>
      <c r="N47" s="114">
        <f>IFERROR(SUM(SavingsInvestments_JulSavings),"")</f>
        <v>0</v>
      </c>
      <c r="O47" s="114" t="str">
        <f>IFERROR(SUM(Over_Under_Savings_Jul),"")</f>
        <v/>
      </c>
      <c r="P47" s="133"/>
      <c r="Q47" s="133"/>
      <c r="R47" s="1"/>
      <c r="T47" s="115"/>
      <c r="U47" s="115" t="s">
        <v>375</v>
      </c>
      <c r="V47" s="209"/>
      <c r="W47" s="212">
        <v>0.5</v>
      </c>
      <c r="X47" s="209"/>
      <c r="Y47" s="213">
        <f>SUM(Total_Expenses_Jul+Formal_Jul_SubTotal+Informal_Jul_SubTotal+Friends_family_Jul_SubTotal+Goals_Jul_SubTotal+SavingsInvestments_Jul_SubTotal)</f>
        <v>0</v>
      </c>
      <c r="Z47" s="115"/>
    </row>
    <row r="48" spans="1:26" ht="15.75" x14ac:dyDescent="0.3">
      <c r="A48" s="1"/>
      <c r="B48" s="142" t="s">
        <v>13</v>
      </c>
      <c r="C48" s="166">
        <v>0</v>
      </c>
      <c r="D48" s="167">
        <v>0</v>
      </c>
      <c r="E48" s="140">
        <f t="shared" si="1"/>
        <v>0</v>
      </c>
      <c r="F48" s="141"/>
      <c r="G48" s="142" t="s">
        <v>19</v>
      </c>
      <c r="H48" s="143">
        <v>0</v>
      </c>
      <c r="I48" s="143">
        <v>0</v>
      </c>
      <c r="J48" s="144">
        <f t="shared" si="0"/>
        <v>0</v>
      </c>
      <c r="K48" s="141"/>
      <c r="L48" s="148">
        <f>Savings_Investments_1</f>
        <v>0</v>
      </c>
      <c r="M48" s="146" t="e">
        <f>-Savings_Investments_MinSavings_1</f>
        <v>#VALUE!</v>
      </c>
      <c r="N48" s="110">
        <f>Savings_Investments_MonthlySavings_Jul_1</f>
        <v>0</v>
      </c>
      <c r="O48" s="146" t="e">
        <f>(Savings_Investments_MinSavings_1+Savings_Investments_MonthlySavings_Jul_1)</f>
        <v>#VALUE!</v>
      </c>
      <c r="P48" s="133"/>
      <c r="Q48" s="133"/>
      <c r="R48" s="1"/>
      <c r="T48" s="115"/>
      <c r="U48" s="209"/>
      <c r="V48" s="209"/>
      <c r="W48" s="209"/>
      <c r="X48" s="209"/>
      <c r="Y48" s="214">
        <f>(Total_Income_Actual_Jul-TOTAL_DEDUCTIONS_Jul)</f>
        <v>0</v>
      </c>
      <c r="Z48" s="115"/>
    </row>
    <row r="49" spans="1:26" ht="15.75" x14ac:dyDescent="0.3">
      <c r="A49" s="1"/>
      <c r="B49" s="142" t="s">
        <v>14</v>
      </c>
      <c r="C49" s="166">
        <v>0</v>
      </c>
      <c r="D49" s="167">
        <v>0</v>
      </c>
      <c r="E49" s="140">
        <f t="shared" si="1"/>
        <v>0</v>
      </c>
      <c r="F49" s="141"/>
      <c r="G49" s="147" t="s">
        <v>20</v>
      </c>
      <c r="H49" s="143">
        <v>0</v>
      </c>
      <c r="I49" s="143">
        <v>0</v>
      </c>
      <c r="J49" s="144">
        <f t="shared" si="0"/>
        <v>0</v>
      </c>
      <c r="K49" s="141"/>
      <c r="L49" s="148">
        <f>Savings_Investments_2</f>
        <v>0</v>
      </c>
      <c r="M49" s="146" t="e">
        <f>-Savings_Investments_MinSavings_2</f>
        <v>#VALUE!</v>
      </c>
      <c r="N49" s="110">
        <f>Savings_Investments_MonthlySavings_Jul_2</f>
        <v>0</v>
      </c>
      <c r="O49" s="146" t="e">
        <f>(Savings_Investments_MinSavings_2+Savings_Investments_MonthlySavings_Jul_2)</f>
        <v>#VALUE!</v>
      </c>
      <c r="P49" s="133"/>
      <c r="Q49" s="133"/>
      <c r="R49" s="1"/>
      <c r="T49" s="115"/>
      <c r="U49" s="209"/>
      <c r="V49" s="209"/>
      <c r="W49" s="209"/>
      <c r="X49" s="209"/>
      <c r="Y49" s="212" t="e">
        <f>(TOTAL_DEDUCTIONS_Jul/Total_Income_Actual_Jul)</f>
        <v>#DIV/0!</v>
      </c>
      <c r="Z49" s="115"/>
    </row>
    <row r="50" spans="1:26" ht="16.5" thickBot="1" x14ac:dyDescent="0.35">
      <c r="A50" s="1"/>
      <c r="B50" s="149" t="s">
        <v>28</v>
      </c>
      <c r="C50" s="150">
        <f>IFERROR(SUM(Budgeted_Income_Jul),"")</f>
        <v>0</v>
      </c>
      <c r="D50" s="151">
        <f>IFERROR(SUM(Actual_Income_Jul),"")</f>
        <v>0</v>
      </c>
      <c r="E50" s="150">
        <f>IFERROR(SUM(Over_under_income_Jul),"")</f>
        <v>0</v>
      </c>
      <c r="F50" s="141"/>
      <c r="G50" s="142" t="s">
        <v>17</v>
      </c>
      <c r="H50" s="143">
        <v>0</v>
      </c>
      <c r="I50" s="143">
        <v>0</v>
      </c>
      <c r="J50" s="144">
        <f t="shared" si="0"/>
        <v>0</v>
      </c>
      <c r="K50" s="141"/>
      <c r="L50" s="148">
        <f>Savings_Investments_3</f>
        <v>0</v>
      </c>
      <c r="M50" s="146" t="e">
        <f>-Savings_Investments_MinSavings_3</f>
        <v>#VALUE!</v>
      </c>
      <c r="N50" s="110">
        <f>Savings_Investments_MonthlySavings_Jul_3</f>
        <v>0</v>
      </c>
      <c r="O50" s="146" t="e">
        <f>(Savings_Investments_MinSavings_3+Savings_Investments_MonthlySavings_Jul_3)</f>
        <v>#VALUE!</v>
      </c>
      <c r="P50" s="133"/>
      <c r="Q50" s="133"/>
      <c r="R50" s="1"/>
      <c r="T50" s="115"/>
      <c r="U50" s="215" t="s">
        <v>16</v>
      </c>
      <c r="V50" s="216" t="s">
        <v>4</v>
      </c>
      <c r="W50" s="216" t="s">
        <v>5</v>
      </c>
      <c r="X50" s="216" t="s">
        <v>6</v>
      </c>
      <c r="Y50" s="217" t="s">
        <v>376</v>
      </c>
      <c r="Z50" s="115"/>
    </row>
    <row r="51" spans="1:26" ht="15.75" x14ac:dyDescent="0.3">
      <c r="A51" s="1"/>
      <c r="B51" s="152"/>
      <c r="C51" s="152"/>
      <c r="D51" s="152"/>
      <c r="E51" s="152"/>
      <c r="F51" s="152"/>
      <c r="G51" s="153" t="s">
        <v>379</v>
      </c>
      <c r="H51" s="143">
        <v>0</v>
      </c>
      <c r="I51" s="143">
        <v>0</v>
      </c>
      <c r="J51" s="144">
        <f t="shared" si="0"/>
        <v>0</v>
      </c>
      <c r="K51" s="141"/>
      <c r="L51" s="148">
        <f>Savings_Investments_4</f>
        <v>0</v>
      </c>
      <c r="M51" s="146" t="e">
        <f>-Savings_Investments_MinSavings_4</f>
        <v>#VALUE!</v>
      </c>
      <c r="N51" s="110">
        <f>Savings_Investments_MonthlySavings_Jul_4</f>
        <v>0</v>
      </c>
      <c r="O51" s="146" t="e">
        <f>(Savings_Investments_MinSavings_4+Savings_Investments_MonthlySavings_Jul_4)</f>
        <v>#VALUE!</v>
      </c>
      <c r="P51" s="133"/>
      <c r="Q51" s="133"/>
      <c r="R51" s="1"/>
      <c r="T51" s="115"/>
      <c r="U51" s="218" t="str">
        <f>monthlyExpense_Jul9_Name</f>
        <v>Rental</v>
      </c>
      <c r="V51" s="219">
        <f>IFERROR(Expense9_BudgetJul,"")</f>
        <v>0</v>
      </c>
      <c r="W51" s="219">
        <f>IFERROR(Expense9_ActualJul,"")</f>
        <v>0</v>
      </c>
      <c r="X51" s="220">
        <f>MAX(Expense9_ActualJul-Expense9_BudgetJul,0)</f>
        <v>0</v>
      </c>
      <c r="Y51" s="214">
        <f>MAX(Expense9_BudgetJul-Expense9_ActualJul,0)</f>
        <v>0</v>
      </c>
      <c r="Z51" s="115"/>
    </row>
    <row r="52" spans="1:26" ht="15.75" x14ac:dyDescent="0.3">
      <c r="A52" s="1"/>
      <c r="B52" s="152"/>
      <c r="C52" s="152"/>
      <c r="D52" s="152"/>
      <c r="E52" s="152"/>
      <c r="F52" s="152"/>
      <c r="G52" s="142" t="s">
        <v>23</v>
      </c>
      <c r="H52" s="143">
        <v>0</v>
      </c>
      <c r="I52" s="143">
        <v>0</v>
      </c>
      <c r="J52" s="144">
        <f t="shared" si="0"/>
        <v>0</v>
      </c>
      <c r="K52" s="152"/>
      <c r="L52" s="152"/>
      <c r="M52" s="152"/>
      <c r="N52" s="152"/>
      <c r="O52" s="152"/>
      <c r="P52" s="133"/>
      <c r="Q52" s="133"/>
      <c r="R52" s="1"/>
      <c r="T52" s="115"/>
      <c r="U52" s="218" t="str">
        <f>monthlyExpense_Jul4_Name</f>
        <v xml:space="preserve">Entertainment </v>
      </c>
      <c r="V52" s="219">
        <f>IFERROR(Expense4_BudgetJul,"")</f>
        <v>0</v>
      </c>
      <c r="W52" s="219">
        <f>IFERROR(Expense4_ActualJul,"")</f>
        <v>0</v>
      </c>
      <c r="X52" s="220">
        <f>MAX(Expense4_ActualJul-Expense4_BudgetJul,0)</f>
        <v>0</v>
      </c>
      <c r="Y52" s="214">
        <f>MAX(Expense4_BudgetJul-Expense4_ActualJul,0)</f>
        <v>0</v>
      </c>
      <c r="Z52" s="115"/>
    </row>
    <row r="53" spans="1:26" ht="16.5" thickBot="1" x14ac:dyDescent="0.35">
      <c r="A53" s="1"/>
      <c r="B53" s="152"/>
      <c r="C53" s="152"/>
      <c r="D53" s="152"/>
      <c r="E53" s="152"/>
      <c r="F53" s="152"/>
      <c r="G53" s="154" t="s">
        <v>28</v>
      </c>
      <c r="H53" s="155">
        <f>SUM(Budgeted_Expenses_Jul)</f>
        <v>0</v>
      </c>
      <c r="I53" s="156">
        <f>SUM(Actual_Expenses_Jul)</f>
        <v>0</v>
      </c>
      <c r="J53" s="150">
        <f>SUM(Over_under_expenses_Jul)</f>
        <v>0</v>
      </c>
      <c r="K53" s="152"/>
      <c r="L53" s="152"/>
      <c r="M53" s="152"/>
      <c r="N53" s="152"/>
      <c r="O53" s="152"/>
      <c r="P53" s="133"/>
      <c r="Q53" s="133"/>
      <c r="R53" s="1"/>
      <c r="T53" s="115"/>
      <c r="U53" s="218" t="str">
        <f>monthlyExpense_Jul5_Name</f>
        <v>Black Tax</v>
      </c>
      <c r="V53" s="219">
        <f>IFERROR(Expense5_BudgetJul,"")</f>
        <v>0</v>
      </c>
      <c r="W53" s="219">
        <f>IFERROR(Expense5_ActualJul,"")</f>
        <v>0</v>
      </c>
      <c r="X53" s="220">
        <f>MAX(Expense5_ActualJul-Expense5_BudgetJul,0)</f>
        <v>0</v>
      </c>
      <c r="Y53" s="214">
        <f>MAX(Expense5_BudgetJul-Expense5_ActualJul,0)</f>
        <v>0</v>
      </c>
      <c r="Z53" s="115"/>
    </row>
    <row r="54" spans="1:26" ht="15.75" x14ac:dyDescent="0.3">
      <c r="A54" s="1"/>
      <c r="B54" s="152"/>
      <c r="C54" s="152"/>
      <c r="D54" s="152"/>
      <c r="E54" s="152"/>
      <c r="F54" s="152"/>
      <c r="G54" s="152"/>
      <c r="H54" s="152"/>
      <c r="I54" s="152"/>
      <c r="J54" s="152"/>
      <c r="K54" s="152"/>
      <c r="L54" s="152"/>
      <c r="M54" s="152"/>
      <c r="N54" s="152"/>
      <c r="O54" s="152"/>
      <c r="P54" s="133"/>
      <c r="Q54" s="133"/>
      <c r="R54" s="1"/>
      <c r="T54" s="115"/>
      <c r="U54" s="218" t="str">
        <f>monthlyExpense_Jul1_Name</f>
        <v>Airtime/Data</v>
      </c>
      <c r="V54" s="219">
        <f>IFERROR(Expense1_BudgetJul,"")</f>
        <v>0</v>
      </c>
      <c r="W54" s="219">
        <f>IFERROR(Expense1_ActualJul,"")</f>
        <v>0</v>
      </c>
      <c r="X54" s="220">
        <f>MAX(Expense1_ActualJul-Expense1_BudgetJul,0)</f>
        <v>0</v>
      </c>
      <c r="Y54" s="214">
        <f>MAX(Expense1_BudgetJul-Expense1_ActualJul,0)</f>
        <v>0</v>
      </c>
      <c r="Z54" s="115"/>
    </row>
    <row r="55" spans="1:26" ht="15.75" x14ac:dyDescent="0.3">
      <c r="A55" s="1"/>
      <c r="B55" s="133"/>
      <c r="C55" s="133"/>
      <c r="D55" s="133"/>
      <c r="E55" s="133"/>
      <c r="F55" s="133"/>
      <c r="G55" s="133"/>
      <c r="H55" s="133"/>
      <c r="I55" s="133"/>
      <c r="J55" s="133"/>
      <c r="K55" s="133"/>
      <c r="L55" s="133"/>
      <c r="M55" s="133"/>
      <c r="N55" s="133"/>
      <c r="O55" s="133"/>
      <c r="P55" s="133"/>
      <c r="Q55" s="133"/>
      <c r="R55" s="1"/>
      <c r="T55" s="115"/>
      <c r="U55" s="218" t="str">
        <f>monthlyExpense_Jul2_Name</f>
        <v>Bank charges</v>
      </c>
      <c r="V55" s="219">
        <f>IFERROR(Expense2_BudgetJul,"")</f>
        <v>0</v>
      </c>
      <c r="W55" s="219">
        <f>IFERROR(Expense2_ActualJul,"")</f>
        <v>0</v>
      </c>
      <c r="X55" s="220">
        <f>MAX(Expense2_ActualJul-Expense2_BudgetJul,0)</f>
        <v>0</v>
      </c>
      <c r="Y55" s="214">
        <f>MAX(Expense2_BudgetJul-Expense2_ActualJul,0)</f>
        <v>0</v>
      </c>
      <c r="Z55" s="115"/>
    </row>
    <row r="56" spans="1:26" ht="15.75" x14ac:dyDescent="0.3">
      <c r="A56" s="1"/>
      <c r="B56" s="133"/>
      <c r="C56" s="133"/>
      <c r="D56" s="133"/>
      <c r="E56" s="133"/>
      <c r="F56" s="133"/>
      <c r="G56" s="133"/>
      <c r="H56" s="133"/>
      <c r="I56" s="133"/>
      <c r="J56" s="133"/>
      <c r="K56" s="133"/>
      <c r="L56" s="133"/>
      <c r="M56" s="133"/>
      <c r="N56" s="133"/>
      <c r="O56" s="133"/>
      <c r="P56" s="133"/>
      <c r="Q56" s="133"/>
      <c r="R56" s="1"/>
      <c r="T56" s="115"/>
      <c r="U56" s="218" t="str">
        <f>monthlyExpense_Jul3_Name</f>
        <v>Clothes</v>
      </c>
      <c r="V56" s="219">
        <f>IFERROR(Expense3_BudgetJul,"")</f>
        <v>0</v>
      </c>
      <c r="W56" s="219">
        <f>IFERROR(Expense3_ActualJul,"")</f>
        <v>0</v>
      </c>
      <c r="X56" s="220">
        <f>MAX(Expense3_ActualJul-Expense3_BudgetJul,0)</f>
        <v>0</v>
      </c>
      <c r="Y56" s="214">
        <f>MAX(Expense3_BudgetJul-Expense3_ActualJul,0)</f>
        <v>0</v>
      </c>
      <c r="Z56" s="115"/>
    </row>
    <row r="57" spans="1:26" ht="15.75" x14ac:dyDescent="0.3">
      <c r="A57" s="1"/>
      <c r="B57" s="134" t="s">
        <v>383</v>
      </c>
      <c r="C57" s="1"/>
      <c r="D57" s="1"/>
      <c r="E57" s="1"/>
      <c r="F57" s="1"/>
      <c r="G57" s="1"/>
      <c r="H57" s="1"/>
      <c r="I57" s="1"/>
      <c r="J57" s="1"/>
      <c r="K57" s="1"/>
      <c r="L57" s="1"/>
      <c r="M57" s="1"/>
      <c r="N57" s="1"/>
      <c r="O57" s="1"/>
      <c r="P57" s="1"/>
      <c r="Q57" s="1"/>
      <c r="R57" s="1"/>
      <c r="T57" s="115"/>
      <c r="U57" s="218" t="str">
        <f>monthlyExpense_Jul6_Name</f>
        <v>Groceries</v>
      </c>
      <c r="V57" s="219">
        <f>IFERROR(Expense6_BudgetJul,"")</f>
        <v>0</v>
      </c>
      <c r="W57" s="219">
        <f>IFERROR(Expense6_ActualJul,"")</f>
        <v>0</v>
      </c>
      <c r="X57" s="220">
        <f>MAX(Expense6_ActualJul-Expense6_BudgetJul,0)</f>
        <v>0</v>
      </c>
      <c r="Y57" s="214">
        <f>MAX(Expense6_BudgetJul-Expense6_ActualJul,0)</f>
        <v>0</v>
      </c>
      <c r="Z57" s="115"/>
    </row>
    <row r="58" spans="1:26" x14ac:dyDescent="0.3">
      <c r="T58" s="115"/>
      <c r="U58" s="218" t="str">
        <f>monthlyExpense_Jul7_Name</f>
        <v>Hair</v>
      </c>
      <c r="V58" s="219">
        <f>IFERROR(Expense7_BudgetJul,"")</f>
        <v>0</v>
      </c>
      <c r="W58" s="219">
        <f>IFERROR(Expense7_ActualJul,"")</f>
        <v>0</v>
      </c>
      <c r="X58" s="220">
        <f>MAX(Expense7_ActualJul-Expense7_BudgetJul,0)</f>
        <v>0</v>
      </c>
      <c r="Y58" s="214">
        <f>MAX(Expense7_BudgetJul-Expense7_ActualJul,0)</f>
        <v>0</v>
      </c>
      <c r="Z58" s="115"/>
    </row>
    <row r="59" spans="1:26" x14ac:dyDescent="0.3">
      <c r="T59" s="115"/>
      <c r="U59" s="218" t="str">
        <f>monthlyExpense_Jul8_Name</f>
        <v>Transport</v>
      </c>
      <c r="V59" s="219">
        <f>IFERROR(Expense8_BudgetJul,"")</f>
        <v>0</v>
      </c>
      <c r="W59" s="219">
        <f>IFERROR(Expense8_ActualJul,"")</f>
        <v>0</v>
      </c>
      <c r="X59" s="220">
        <f>MAX(Expense8_ActualJul-Expense8_BudgetJul,0)</f>
        <v>0</v>
      </c>
      <c r="Y59" s="214">
        <f>MAX(Expense8_BudgetJul-Expense8_ActualJul,0)</f>
        <v>0</v>
      </c>
      <c r="Z59" s="115"/>
    </row>
    <row r="60" spans="1:26" x14ac:dyDescent="0.3">
      <c r="T60" s="115"/>
      <c r="U60" s="218" t="str">
        <f>monthlyExpense_Jul10_Name</f>
        <v xml:space="preserve">Stationery </v>
      </c>
      <c r="V60" s="219">
        <f>IFERROR(Expense10_BudgetJul,"")</f>
        <v>0</v>
      </c>
      <c r="W60" s="219">
        <f>IFERROR(Expense10_ActualJul,"")</f>
        <v>0</v>
      </c>
      <c r="X60" s="220">
        <f>MAX(Expense10_ActualJul-Expense10_BudgetJul,0)</f>
        <v>0</v>
      </c>
      <c r="Y60" s="214">
        <f>MAX(Expense10_BudgetJul-Expense10_ActualJul,0)</f>
        <v>0</v>
      </c>
      <c r="Z60" s="115"/>
    </row>
    <row r="61" spans="1:26" x14ac:dyDescent="0.3">
      <c r="T61" s="115"/>
      <c r="U61" s="218" t="str">
        <f>monthlyExpense_Jan11_Name</f>
        <v xml:space="preserve">Other </v>
      </c>
      <c r="V61" s="219">
        <f>IFERROR(Expense11_BudgetJul,"")</f>
        <v>0</v>
      </c>
      <c r="W61" s="219">
        <f>IFERROR(Expense11_ActualJul,"")</f>
        <v>0</v>
      </c>
      <c r="X61" s="220">
        <f>MAX(Expense10_ActualJul-Expense10_BudgetJul,0)</f>
        <v>0</v>
      </c>
      <c r="Y61" s="214">
        <f>MAX(Expense11_BudgetJul-Expense11_ActualJul,0)</f>
        <v>0</v>
      </c>
      <c r="Z61" s="115"/>
    </row>
    <row r="62" spans="1:26" x14ac:dyDescent="0.3">
      <c r="T62" s="115"/>
      <c r="U62" s="103"/>
      <c r="V62" s="103"/>
      <c r="W62" s="103"/>
      <c r="X62" s="103"/>
      <c r="Y62" s="103"/>
      <c r="Z62" s="115"/>
    </row>
    <row r="63" spans="1:26" x14ac:dyDescent="0.3">
      <c r="T63" s="115"/>
      <c r="U63" s="103" t="s">
        <v>382</v>
      </c>
      <c r="V63" s="103"/>
      <c r="W63" s="103"/>
      <c r="X63" s="103"/>
      <c r="Y63" s="103"/>
      <c r="Z63" s="115"/>
    </row>
    <row r="64" spans="1:26" x14ac:dyDescent="0.3">
      <c r="T64" s="115"/>
      <c r="U64" s="221">
        <f>SUM(SUM(Formal_Jul_SubTotal+Informal_Jul_SubTotal+Friends_family_Jul_SubTotal)+(Formal_Jun_SubTotal+Informal_Jun_SubTotal+Friends_family_Jun_SubTotal)+(Formal_May_SubTotal+Informal_May_SubTotal+Friends_family_May_SubTotal)+(Formal_Apr_SubTotal+Informal_Apr_SubTotal+Friends_family_Apr_SubTotal)+(Formal_Mar_SubTotal+Informal_Mar_SubTotal+Friends_family_Mar_SubTotal)+(Formal_Feb_SubTotal+Informal_Feb_SubTotal+Friends_family_Feb_SubTotal)+SUM(Formal_Jan_SubTotal+Informal_Jan_SubTotal+Friends_family_Feb_SubTotal))-SUM(Formal_IAO+Informal_IAO+Friends_family_IAO)</f>
        <v>-400</v>
      </c>
      <c r="V64" s="103"/>
      <c r="W64" s="103"/>
      <c r="X64" s="103"/>
      <c r="Y64" s="103"/>
      <c r="Z64" s="115"/>
    </row>
    <row r="65" spans="12:26" x14ac:dyDescent="0.3">
      <c r="T65" s="115"/>
      <c r="U65" s="103"/>
      <c r="V65" s="103"/>
      <c r="W65" s="103"/>
      <c r="X65" s="103"/>
      <c r="Y65" s="103"/>
      <c r="Z65" s="115"/>
    </row>
    <row r="66" spans="12:26" x14ac:dyDescent="0.3">
      <c r="T66" s="115"/>
      <c r="U66" s="103"/>
      <c r="V66" s="103"/>
      <c r="W66" s="103"/>
      <c r="X66" s="103"/>
      <c r="Y66" s="103"/>
      <c r="Z66" s="115"/>
    </row>
    <row r="67" spans="12:26" x14ac:dyDescent="0.3">
      <c r="T67" s="115"/>
      <c r="U67" s="103"/>
      <c r="V67" s="103"/>
      <c r="W67" s="103"/>
      <c r="X67" s="103"/>
      <c r="Y67" s="103"/>
      <c r="Z67" s="115"/>
    </row>
    <row r="68" spans="12:26" x14ac:dyDescent="0.3">
      <c r="L68" s="118"/>
      <c r="T68" s="116"/>
      <c r="Z68" s="116"/>
    </row>
    <row r="69" spans="12:26" x14ac:dyDescent="0.3">
      <c r="T69" s="116"/>
      <c r="Z69" s="116"/>
    </row>
    <row r="70" spans="12:26" x14ac:dyDescent="0.3">
      <c r="T70" s="116"/>
      <c r="Z70" s="116"/>
    </row>
  </sheetData>
  <sheetProtection password="8191" sheet="1" objects="1" scenarios="1" selectLockedCells="1"/>
  <mergeCells count="3">
    <mergeCell ref="B39:D39"/>
    <mergeCell ref="L40:O40"/>
    <mergeCell ref="U41:X4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1940</vt:i4>
      </vt:variant>
    </vt:vector>
  </HeadingPairs>
  <TitlesOfParts>
    <vt:vector size="1960" baseType="lpstr">
      <vt:lpstr>Home</vt:lpstr>
      <vt:lpstr>Monthly Budgets</vt:lpstr>
      <vt:lpstr>Jan</vt:lpstr>
      <vt:lpstr>Feb</vt:lpstr>
      <vt:lpstr>Mar</vt:lpstr>
      <vt:lpstr>Apr </vt:lpstr>
      <vt:lpstr>May</vt:lpstr>
      <vt:lpstr>Jun</vt:lpstr>
      <vt:lpstr>Jul</vt:lpstr>
      <vt:lpstr>Aug</vt:lpstr>
      <vt:lpstr>Sep</vt:lpstr>
      <vt:lpstr>Oct</vt:lpstr>
      <vt:lpstr>Nov</vt:lpstr>
      <vt:lpstr>Dec</vt:lpstr>
      <vt:lpstr>YEARLY</vt:lpstr>
      <vt:lpstr>Financial Scorecard</vt:lpstr>
      <vt:lpstr>Savings and Investments</vt:lpstr>
      <vt:lpstr>InterestCalculators</vt:lpstr>
      <vt:lpstr>Help</vt:lpstr>
      <vt:lpstr>Data</vt:lpstr>
      <vt:lpstr>Actual_Expenses_Apr</vt:lpstr>
      <vt:lpstr>Actual_Expenses_Aug</vt:lpstr>
      <vt:lpstr>Actual_Expenses_Dec</vt:lpstr>
      <vt:lpstr>Actual_Expenses_Feb</vt:lpstr>
      <vt:lpstr>'Apr '!Actual_Expenses_Jan</vt:lpstr>
      <vt:lpstr>Aug!Actual_Expenses_Jan</vt:lpstr>
      <vt:lpstr>Dec!Actual_Expenses_Jan</vt:lpstr>
      <vt:lpstr>Feb!Actual_Expenses_Jan</vt:lpstr>
      <vt:lpstr>Actual_Expenses_Jan</vt:lpstr>
      <vt:lpstr>Actual_Expenses_Jul</vt:lpstr>
      <vt:lpstr>Actual_Expenses_Jun</vt:lpstr>
      <vt:lpstr>Actual_Expenses_Mar</vt:lpstr>
      <vt:lpstr>Actual_Expenses_May</vt:lpstr>
      <vt:lpstr>Actual_Expenses_Nov</vt:lpstr>
      <vt:lpstr>Actual_Expenses_Oct</vt:lpstr>
      <vt:lpstr>Actual_Expenses_Sep</vt:lpstr>
      <vt:lpstr>Actual_Expenses_TotalFeb</vt:lpstr>
      <vt:lpstr>Actual_Expenses_YEARLY</vt:lpstr>
      <vt:lpstr>Actual_Income_Apr</vt:lpstr>
      <vt:lpstr>Actual_Income_Aug</vt:lpstr>
      <vt:lpstr>Actual_Income_Dec</vt:lpstr>
      <vt:lpstr>Actual_Income_Feb</vt:lpstr>
      <vt:lpstr>'Apr '!Actual_Income_Jan</vt:lpstr>
      <vt:lpstr>Aug!Actual_Income_Jan</vt:lpstr>
      <vt:lpstr>Dec!Actual_Income_Jan</vt:lpstr>
      <vt:lpstr>Feb!Actual_Income_Jan</vt:lpstr>
      <vt:lpstr>Actual_Income_Jan</vt:lpstr>
      <vt:lpstr>Actual_Income_Jul</vt:lpstr>
      <vt:lpstr>Actual_Income_Jun</vt:lpstr>
      <vt:lpstr>Actual_Income_Mar</vt:lpstr>
      <vt:lpstr>Actual_Income_May</vt:lpstr>
      <vt:lpstr>Actual_Income_Nov</vt:lpstr>
      <vt:lpstr>Actual_Income_Oct</vt:lpstr>
      <vt:lpstr>Actual_Income_Sep</vt:lpstr>
      <vt:lpstr>Actual_Income_YEARLY</vt:lpstr>
      <vt:lpstr>Actual_Perc_Goal</vt:lpstr>
      <vt:lpstr>Actual_Perc_SavingInvestments</vt:lpstr>
      <vt:lpstr>Annual_Payment</vt:lpstr>
      <vt:lpstr>Annual_Payment_Friends_Family</vt:lpstr>
      <vt:lpstr>Annual_Payment_Informal</vt:lpstr>
      <vt:lpstr>Budgeted_Expenses_Apr</vt:lpstr>
      <vt:lpstr>Budgeted_Expenses_Aug</vt:lpstr>
      <vt:lpstr>Budgeted_Expenses_Dec</vt:lpstr>
      <vt:lpstr>Budgeted_Expenses_Feb</vt:lpstr>
      <vt:lpstr>'Apr '!Budgeted_Expenses_Jan</vt:lpstr>
      <vt:lpstr>Aug!Budgeted_Expenses_Jan</vt:lpstr>
      <vt:lpstr>Dec!Budgeted_Expenses_Jan</vt:lpstr>
      <vt:lpstr>Feb!Budgeted_Expenses_Jan</vt:lpstr>
      <vt:lpstr>Budgeted_Expenses_Jan</vt:lpstr>
      <vt:lpstr>Budgeted_Expenses_Jul</vt:lpstr>
      <vt:lpstr>Budgeted_Expenses_Jun</vt:lpstr>
      <vt:lpstr>Budgeted_Expenses_Mar</vt:lpstr>
      <vt:lpstr>Budgeted_Expenses_May</vt:lpstr>
      <vt:lpstr>Budgeted_Expenses_Nov</vt:lpstr>
      <vt:lpstr>Budgeted_Expenses_Oct</vt:lpstr>
      <vt:lpstr>Budgeted_Expenses_Sep</vt:lpstr>
      <vt:lpstr>Budgeted_Expenses_YEARLY</vt:lpstr>
      <vt:lpstr>Budgeted_Income_Apr</vt:lpstr>
      <vt:lpstr>Budgeted_Income_Aug</vt:lpstr>
      <vt:lpstr>Budgeted_Income_Dec</vt:lpstr>
      <vt:lpstr>Budgeted_Income_Feb</vt:lpstr>
      <vt:lpstr>'Apr '!Budgeted_Income_Jan</vt:lpstr>
      <vt:lpstr>Aug!Budgeted_Income_Jan</vt:lpstr>
      <vt:lpstr>Dec!Budgeted_Income_Jan</vt:lpstr>
      <vt:lpstr>Feb!Budgeted_Income_Jan</vt:lpstr>
      <vt:lpstr>Budgeted_Income_Jan</vt:lpstr>
      <vt:lpstr>Budgeted_Income_Jul</vt:lpstr>
      <vt:lpstr>Budgeted_Income_Jun</vt:lpstr>
      <vt:lpstr>Budgeted_Income_Mar</vt:lpstr>
      <vt:lpstr>Budgeted_Income_May</vt:lpstr>
      <vt:lpstr>Budgeted_Income_Nov</vt:lpstr>
      <vt:lpstr>Budgeted_Income_Oct</vt:lpstr>
      <vt:lpstr>Budgeted_Income_Sep</vt:lpstr>
      <vt:lpstr>Budgeted_Income_YEARLY</vt:lpstr>
      <vt:lpstr>Deductions_Apr</vt:lpstr>
      <vt:lpstr>Deductions_Mar</vt:lpstr>
      <vt:lpstr>Expense1_ActualApr</vt:lpstr>
      <vt:lpstr>Expense1_ActualAug</vt:lpstr>
      <vt:lpstr>Expense1_ActualDec</vt:lpstr>
      <vt:lpstr>Expense1_ActualFeb</vt:lpstr>
      <vt:lpstr>'Apr '!Expense1_ActualJan</vt:lpstr>
      <vt:lpstr>Aug!Expense1_ActualJan</vt:lpstr>
      <vt:lpstr>Dec!Expense1_ActualJan</vt:lpstr>
      <vt:lpstr>Feb!Expense1_ActualJan</vt:lpstr>
      <vt:lpstr>Expense1_ActualJan</vt:lpstr>
      <vt:lpstr>Expense1_ActualJul</vt:lpstr>
      <vt:lpstr>Expense1_ActualJun</vt:lpstr>
      <vt:lpstr>Expense1_ActualMar</vt:lpstr>
      <vt:lpstr>Expense1_ActualMay</vt:lpstr>
      <vt:lpstr>Expense1_ActualNov</vt:lpstr>
      <vt:lpstr>Expense1_ActualOct</vt:lpstr>
      <vt:lpstr>Expense1_ActualSep</vt:lpstr>
      <vt:lpstr>Expense1_ActualYEARLY</vt:lpstr>
      <vt:lpstr>Expense1_BudgetApr</vt:lpstr>
      <vt:lpstr>Expense1_BudgetAug</vt:lpstr>
      <vt:lpstr>Expense1_BudgetDec</vt:lpstr>
      <vt:lpstr>Expense1_BudgetFeb</vt:lpstr>
      <vt:lpstr>'Apr '!Expense1_BudgetJan</vt:lpstr>
      <vt:lpstr>Aug!Expense1_BudgetJan</vt:lpstr>
      <vt:lpstr>Dec!Expense1_BudgetJan</vt:lpstr>
      <vt:lpstr>Feb!Expense1_BudgetJan</vt:lpstr>
      <vt:lpstr>Expense1_BudgetJan</vt:lpstr>
      <vt:lpstr>Expense1_BudgetJul</vt:lpstr>
      <vt:lpstr>Expense1_BudgetJun</vt:lpstr>
      <vt:lpstr>Expense1_BudgetMar</vt:lpstr>
      <vt:lpstr>Expense1_BudgetMay</vt:lpstr>
      <vt:lpstr>Expense1_BudgetNov</vt:lpstr>
      <vt:lpstr>Expense1_BudgetOct</vt:lpstr>
      <vt:lpstr>Expense1_BudgetSep</vt:lpstr>
      <vt:lpstr>Expense1_BudgetYEARLY</vt:lpstr>
      <vt:lpstr>Expense10_ActualApr</vt:lpstr>
      <vt:lpstr>Expense10_ActualAug</vt:lpstr>
      <vt:lpstr>Expense10_ActualDec</vt:lpstr>
      <vt:lpstr>Feb!Expense10_ActualFeb</vt:lpstr>
      <vt:lpstr>'Apr '!Expense10_ActualJan</vt:lpstr>
      <vt:lpstr>Aug!Expense10_ActualJan</vt:lpstr>
      <vt:lpstr>Dec!Expense10_ActualJan</vt:lpstr>
      <vt:lpstr>Feb!Expense10_ActualJan</vt:lpstr>
      <vt:lpstr>Expense10_ActualJan</vt:lpstr>
      <vt:lpstr>Expense10_ActualJul</vt:lpstr>
      <vt:lpstr>Expense10_ActualJun</vt:lpstr>
      <vt:lpstr>Expense10_ActualMar</vt:lpstr>
      <vt:lpstr>Expense10_ActualMay</vt:lpstr>
      <vt:lpstr>Expense10_ActualNov</vt:lpstr>
      <vt:lpstr>Expense10_ActualOct</vt:lpstr>
      <vt:lpstr>Expense10_ActualSep</vt:lpstr>
      <vt:lpstr>Expense10_ActualYEARLY</vt:lpstr>
      <vt:lpstr>Expense10_BudgetApr</vt:lpstr>
      <vt:lpstr>Expense10_BudgetAug</vt:lpstr>
      <vt:lpstr>Expense10_BudgetDec</vt:lpstr>
      <vt:lpstr>Feb!Expense10_BudgetFeb</vt:lpstr>
      <vt:lpstr>'Apr '!Expense10_BudgetJan</vt:lpstr>
      <vt:lpstr>Aug!Expense10_BudgetJan</vt:lpstr>
      <vt:lpstr>Dec!Expense10_BudgetJan</vt:lpstr>
      <vt:lpstr>Feb!Expense10_BudgetJan</vt:lpstr>
      <vt:lpstr>Expense10_BudgetJan</vt:lpstr>
      <vt:lpstr>Expense10_BudgetJul</vt:lpstr>
      <vt:lpstr>Expense10_BudgetJun</vt:lpstr>
      <vt:lpstr>Expense10_BudgetMar</vt:lpstr>
      <vt:lpstr>Expense10_BudgetMay</vt:lpstr>
      <vt:lpstr>Expense10_BudgetNov</vt:lpstr>
      <vt:lpstr>Expense10_BudgetOct</vt:lpstr>
      <vt:lpstr>Expense10_BudgetSep</vt:lpstr>
      <vt:lpstr>Expense10_BudgetYEARLY</vt:lpstr>
      <vt:lpstr>Expense11_ActualApr</vt:lpstr>
      <vt:lpstr>Expense11_ActualAug</vt:lpstr>
      <vt:lpstr>Expense11_ActualDec</vt:lpstr>
      <vt:lpstr>Feb!Expense11_ActualFeb</vt:lpstr>
      <vt:lpstr>'Apr '!Expense11_ActualJan</vt:lpstr>
      <vt:lpstr>Aug!Expense11_ActualJan</vt:lpstr>
      <vt:lpstr>Dec!Expense11_ActualJan</vt:lpstr>
      <vt:lpstr>Feb!Expense11_ActualJan</vt:lpstr>
      <vt:lpstr>Expense11_ActualJan</vt:lpstr>
      <vt:lpstr>Expense11_ActualJul</vt:lpstr>
      <vt:lpstr>Expense11_ActualJun</vt:lpstr>
      <vt:lpstr>Expense11_ActualMar</vt:lpstr>
      <vt:lpstr>Expense11_ActualMay</vt:lpstr>
      <vt:lpstr>Expense11_ActualNov</vt:lpstr>
      <vt:lpstr>Expense11_ActualOct</vt:lpstr>
      <vt:lpstr>Expense11_ActualSep</vt:lpstr>
      <vt:lpstr>Expense11_ActualYEARLY</vt:lpstr>
      <vt:lpstr>Expense11_BudgetApr</vt:lpstr>
      <vt:lpstr>Expense11_BudgetAug</vt:lpstr>
      <vt:lpstr>Expense11_BudgetDec</vt:lpstr>
      <vt:lpstr>Feb!Expense11_BudgetFeb</vt:lpstr>
      <vt:lpstr>'Apr '!Expense11_BudgetJan</vt:lpstr>
      <vt:lpstr>Aug!Expense11_BudgetJan</vt:lpstr>
      <vt:lpstr>Dec!Expense11_BudgetJan</vt:lpstr>
      <vt:lpstr>Feb!Expense11_BudgetJan</vt:lpstr>
      <vt:lpstr>Expense11_BudgetJan</vt:lpstr>
      <vt:lpstr>Expense11_BudgetJul</vt:lpstr>
      <vt:lpstr>Expense11_BudgetJun</vt:lpstr>
      <vt:lpstr>Expense11_BudgetMar</vt:lpstr>
      <vt:lpstr>Expense11_BudgetMay</vt:lpstr>
      <vt:lpstr>Expense11_BudgetNov</vt:lpstr>
      <vt:lpstr>Expense11_BudgetOct</vt:lpstr>
      <vt:lpstr>Expense11_BudgetSep</vt:lpstr>
      <vt:lpstr>Expense11_BudgetYEARLY</vt:lpstr>
      <vt:lpstr>Expense2_ActualApr</vt:lpstr>
      <vt:lpstr>Expense2_ActualAug</vt:lpstr>
      <vt:lpstr>Expense2_ActualDec</vt:lpstr>
      <vt:lpstr>Expense2_ActualFeb</vt:lpstr>
      <vt:lpstr>'Apr '!Expense2_ActualJan</vt:lpstr>
      <vt:lpstr>Aug!Expense2_ActualJan</vt:lpstr>
      <vt:lpstr>Dec!Expense2_ActualJan</vt:lpstr>
      <vt:lpstr>Feb!Expense2_ActualJan</vt:lpstr>
      <vt:lpstr>Expense2_ActualJan</vt:lpstr>
      <vt:lpstr>Expense2_ActualJul</vt:lpstr>
      <vt:lpstr>Expense2_ActualJun</vt:lpstr>
      <vt:lpstr>Expense2_ActualMar</vt:lpstr>
      <vt:lpstr>Expense2_ActualMay</vt:lpstr>
      <vt:lpstr>Expense2_ActualNov</vt:lpstr>
      <vt:lpstr>Expense2_ActualOct</vt:lpstr>
      <vt:lpstr>Expense2_ActualSep</vt:lpstr>
      <vt:lpstr>Expense2_ActualYEARLY</vt:lpstr>
      <vt:lpstr>Expense2_BudgetApr</vt:lpstr>
      <vt:lpstr>Expense2_BudgetAug</vt:lpstr>
      <vt:lpstr>Expense2_BudgetDec</vt:lpstr>
      <vt:lpstr>Expense2_BudgetFeb</vt:lpstr>
      <vt:lpstr>'Apr '!Expense2_BudgetJan</vt:lpstr>
      <vt:lpstr>Aug!Expense2_BudgetJan</vt:lpstr>
      <vt:lpstr>Dec!Expense2_BudgetJan</vt:lpstr>
      <vt:lpstr>Feb!Expense2_BudgetJan</vt:lpstr>
      <vt:lpstr>Expense2_BudgetJan</vt:lpstr>
      <vt:lpstr>Expense2_BudgetJul</vt:lpstr>
      <vt:lpstr>Expense2_BudgetJun</vt:lpstr>
      <vt:lpstr>Expense2_BudgetMar</vt:lpstr>
      <vt:lpstr>Expense2_BudgetMay</vt:lpstr>
      <vt:lpstr>Expense2_BudgetNov</vt:lpstr>
      <vt:lpstr>Expense2_BudgetOct</vt:lpstr>
      <vt:lpstr>Expense2_BudgetSep</vt:lpstr>
      <vt:lpstr>Expense2_BudgetYEARLY</vt:lpstr>
      <vt:lpstr>Expense3_ActualApr</vt:lpstr>
      <vt:lpstr>Expense3_ActualAug</vt:lpstr>
      <vt:lpstr>Expense3_ActualDec</vt:lpstr>
      <vt:lpstr>Expense3_ActualFeb</vt:lpstr>
      <vt:lpstr>'Apr '!Expense3_ActualJan</vt:lpstr>
      <vt:lpstr>Aug!Expense3_ActualJan</vt:lpstr>
      <vt:lpstr>Dec!Expense3_ActualJan</vt:lpstr>
      <vt:lpstr>Feb!Expense3_ActualJan</vt:lpstr>
      <vt:lpstr>Expense3_ActualJan</vt:lpstr>
      <vt:lpstr>Expense3_ActualJul</vt:lpstr>
      <vt:lpstr>Expense3_ActualJun</vt:lpstr>
      <vt:lpstr>Expense3_ActualMar</vt:lpstr>
      <vt:lpstr>Expense3_ActualMay</vt:lpstr>
      <vt:lpstr>Expense3_ActualNov</vt:lpstr>
      <vt:lpstr>Expense3_ActualOct</vt:lpstr>
      <vt:lpstr>Expense3_ActualSep</vt:lpstr>
      <vt:lpstr>Expense3_ActualYEARLY</vt:lpstr>
      <vt:lpstr>Expense3_BudgetApr</vt:lpstr>
      <vt:lpstr>Expense3_BudgetAug</vt:lpstr>
      <vt:lpstr>Expense3_BudgetDec</vt:lpstr>
      <vt:lpstr>Expense3_BudgetFeb</vt:lpstr>
      <vt:lpstr>'Apr '!Expense3_BudgetJan</vt:lpstr>
      <vt:lpstr>Aug!Expense3_BudgetJan</vt:lpstr>
      <vt:lpstr>Dec!Expense3_BudgetJan</vt:lpstr>
      <vt:lpstr>Feb!Expense3_BudgetJan</vt:lpstr>
      <vt:lpstr>Expense3_BudgetJan</vt:lpstr>
      <vt:lpstr>Expense3_BudgetJul</vt:lpstr>
      <vt:lpstr>Expense3_BudgetJun</vt:lpstr>
      <vt:lpstr>Expense3_BudgetMar</vt:lpstr>
      <vt:lpstr>Expense3_BudgetMay</vt:lpstr>
      <vt:lpstr>Expense3_BudgetNov</vt:lpstr>
      <vt:lpstr>Expense3_BudgetOct</vt:lpstr>
      <vt:lpstr>Expense3_BudgetSep</vt:lpstr>
      <vt:lpstr>Expense3_BudgetYEARLY</vt:lpstr>
      <vt:lpstr>Expense4_ActualApr</vt:lpstr>
      <vt:lpstr>Expense4_ActualAug</vt:lpstr>
      <vt:lpstr>Expense4_ActualDec</vt:lpstr>
      <vt:lpstr>Expense4_ActualFeb</vt:lpstr>
      <vt:lpstr>'Apr '!Expense4_ActualJan</vt:lpstr>
      <vt:lpstr>Aug!Expense4_ActualJan</vt:lpstr>
      <vt:lpstr>Dec!Expense4_ActualJan</vt:lpstr>
      <vt:lpstr>Feb!Expense4_ActualJan</vt:lpstr>
      <vt:lpstr>Expense4_ActualJan</vt:lpstr>
      <vt:lpstr>Expense4_ActualJul</vt:lpstr>
      <vt:lpstr>Expense4_ActualJun</vt:lpstr>
      <vt:lpstr>Expense4_ActualMar</vt:lpstr>
      <vt:lpstr>Expense4_ActualNov</vt:lpstr>
      <vt:lpstr>Expense4_ActualOct</vt:lpstr>
      <vt:lpstr>Expense4_ActualSep</vt:lpstr>
      <vt:lpstr>Expense4_ActualYEARLY</vt:lpstr>
      <vt:lpstr>Expense4_BudgetApr</vt:lpstr>
      <vt:lpstr>Expense4_BudgetAug</vt:lpstr>
      <vt:lpstr>Expense4_BudgetDec</vt:lpstr>
      <vt:lpstr>Expense4_BudgetFeb</vt:lpstr>
      <vt:lpstr>'Apr '!Expense4_BudgetJan</vt:lpstr>
      <vt:lpstr>Aug!Expense4_BudgetJan</vt:lpstr>
      <vt:lpstr>Dec!Expense4_BudgetJan</vt:lpstr>
      <vt:lpstr>Feb!Expense4_BudgetJan</vt:lpstr>
      <vt:lpstr>Expense4_BudgetJan</vt:lpstr>
      <vt:lpstr>Expense4_BudgetJul</vt:lpstr>
      <vt:lpstr>Expense4_BudgetJun</vt:lpstr>
      <vt:lpstr>Expense4_BudgetMar</vt:lpstr>
      <vt:lpstr>Expense4_BudgetMay</vt:lpstr>
      <vt:lpstr>Expense4_BudgetNov</vt:lpstr>
      <vt:lpstr>Expense4_BudgetOct</vt:lpstr>
      <vt:lpstr>Expense4_BudgetSep</vt:lpstr>
      <vt:lpstr>Expense4_BudgetYEARLY</vt:lpstr>
      <vt:lpstr>Expense4ActualMay</vt:lpstr>
      <vt:lpstr>Expense5_ActualApr</vt:lpstr>
      <vt:lpstr>Expense5_ActualAug</vt:lpstr>
      <vt:lpstr>Expense5_ActualDec</vt:lpstr>
      <vt:lpstr>Expense5_ActualFeb</vt:lpstr>
      <vt:lpstr>'Apr '!Expense5_ActualJan</vt:lpstr>
      <vt:lpstr>Aug!Expense5_ActualJan</vt:lpstr>
      <vt:lpstr>Dec!Expense5_ActualJan</vt:lpstr>
      <vt:lpstr>Feb!Expense5_ActualJan</vt:lpstr>
      <vt:lpstr>Expense5_ActualJan</vt:lpstr>
      <vt:lpstr>Expense5_ActualJul</vt:lpstr>
      <vt:lpstr>Expense5_ActualJun</vt:lpstr>
      <vt:lpstr>Expense5_ActualMar</vt:lpstr>
      <vt:lpstr>Expense5_ActualMay</vt:lpstr>
      <vt:lpstr>Expense5_ActualNov</vt:lpstr>
      <vt:lpstr>Expense5_ActualOct</vt:lpstr>
      <vt:lpstr>Expense5_ActualSep</vt:lpstr>
      <vt:lpstr>Expense5_ActualYEARLY</vt:lpstr>
      <vt:lpstr>Expense5_BudgetApr</vt:lpstr>
      <vt:lpstr>Expense5_BudgetAug</vt:lpstr>
      <vt:lpstr>Expense5_BudgetDec</vt:lpstr>
      <vt:lpstr>Expense5_BudgetFeb</vt:lpstr>
      <vt:lpstr>'Apr '!Expense5_BudgetJan</vt:lpstr>
      <vt:lpstr>Aug!Expense5_BudgetJan</vt:lpstr>
      <vt:lpstr>Dec!Expense5_BudgetJan</vt:lpstr>
      <vt:lpstr>Feb!Expense5_BudgetJan</vt:lpstr>
      <vt:lpstr>Expense5_BudgetJan</vt:lpstr>
      <vt:lpstr>Expense5_BudgetJul</vt:lpstr>
      <vt:lpstr>Expense5_BudgetJun</vt:lpstr>
      <vt:lpstr>Expense5_BudgetMar</vt:lpstr>
      <vt:lpstr>Expense5_BudgetMay</vt:lpstr>
      <vt:lpstr>Expense5_BudgetNov</vt:lpstr>
      <vt:lpstr>Expense5_BudgetOct</vt:lpstr>
      <vt:lpstr>Expense5_BudgetSep</vt:lpstr>
      <vt:lpstr>Expense5_BudgetYEARLY</vt:lpstr>
      <vt:lpstr>Expense6_ActualApr</vt:lpstr>
      <vt:lpstr>Expense6_ActualAug</vt:lpstr>
      <vt:lpstr>Expense6_ActualDec</vt:lpstr>
      <vt:lpstr>Feb!Expense6_ActualFeb</vt:lpstr>
      <vt:lpstr>'Apr '!Expense6_ActualJan</vt:lpstr>
      <vt:lpstr>Aug!Expense6_ActualJan</vt:lpstr>
      <vt:lpstr>Dec!Expense6_ActualJan</vt:lpstr>
      <vt:lpstr>Feb!Expense6_ActualJan</vt:lpstr>
      <vt:lpstr>Expense6_ActualJan</vt:lpstr>
      <vt:lpstr>Expense6_ActualJul</vt:lpstr>
      <vt:lpstr>Expense6_ActualJun</vt:lpstr>
      <vt:lpstr>Expense6_ActualMar</vt:lpstr>
      <vt:lpstr>Expense6_ActualNov</vt:lpstr>
      <vt:lpstr>Expense6_ActualOct</vt:lpstr>
      <vt:lpstr>Expense6_ActualSep</vt:lpstr>
      <vt:lpstr>Expense6_ActualYEARLY</vt:lpstr>
      <vt:lpstr>Expense6_BudgetApr</vt:lpstr>
      <vt:lpstr>Expense6_BudgetAug</vt:lpstr>
      <vt:lpstr>Expense6_BudgetDec</vt:lpstr>
      <vt:lpstr>Feb!Expense6_BudgetFeb</vt:lpstr>
      <vt:lpstr>'Apr '!Expense6_BudgetJan</vt:lpstr>
      <vt:lpstr>Aug!Expense6_BudgetJan</vt:lpstr>
      <vt:lpstr>Dec!Expense6_BudgetJan</vt:lpstr>
      <vt:lpstr>Feb!Expense6_BudgetJan</vt:lpstr>
      <vt:lpstr>Expense6_BudgetJan</vt:lpstr>
      <vt:lpstr>Expense6_BudgetJul</vt:lpstr>
      <vt:lpstr>Expense6_BudgetJun</vt:lpstr>
      <vt:lpstr>Expense6_BudgetMar</vt:lpstr>
      <vt:lpstr>Expense6_BudgetMay</vt:lpstr>
      <vt:lpstr>Expense6_BudgetNov</vt:lpstr>
      <vt:lpstr>Expense6_BudgetOct</vt:lpstr>
      <vt:lpstr>Expense6_BudgetSep</vt:lpstr>
      <vt:lpstr>Expense6_BudgetYEARLY</vt:lpstr>
      <vt:lpstr>Expense6ActualMay</vt:lpstr>
      <vt:lpstr>Expense7_ActualApr</vt:lpstr>
      <vt:lpstr>Expense7_ActualAug</vt:lpstr>
      <vt:lpstr>Expense7_ActualDec</vt:lpstr>
      <vt:lpstr>Feb!Expense7_ActualFeb</vt:lpstr>
      <vt:lpstr>'Apr '!Expense7_ActualJan</vt:lpstr>
      <vt:lpstr>Aug!Expense7_ActualJan</vt:lpstr>
      <vt:lpstr>Dec!Expense7_ActualJan</vt:lpstr>
      <vt:lpstr>Feb!Expense7_ActualJan</vt:lpstr>
      <vt:lpstr>Expense7_ActualJan</vt:lpstr>
      <vt:lpstr>Expense7_ActualJFeb</vt:lpstr>
      <vt:lpstr>Expense7_ActualJul</vt:lpstr>
      <vt:lpstr>Expense7_ActualJun</vt:lpstr>
      <vt:lpstr>Expense7_ActualMar</vt:lpstr>
      <vt:lpstr>Expense7_ActualMay</vt:lpstr>
      <vt:lpstr>Expense7_ActualNov</vt:lpstr>
      <vt:lpstr>Expense7_ActualOct</vt:lpstr>
      <vt:lpstr>Expense7_ActualSep</vt:lpstr>
      <vt:lpstr>Expense7_ActualYEARLY</vt:lpstr>
      <vt:lpstr>Expense7_BudgetApr</vt:lpstr>
      <vt:lpstr>Expense7_BudgetAug</vt:lpstr>
      <vt:lpstr>Expense7_BudgetDec</vt:lpstr>
      <vt:lpstr>Feb!Expense7_BudgetFeb</vt:lpstr>
      <vt:lpstr>'Apr '!Expense7_BudgetJan</vt:lpstr>
      <vt:lpstr>Aug!Expense7_BudgetJan</vt:lpstr>
      <vt:lpstr>Dec!Expense7_BudgetJan</vt:lpstr>
      <vt:lpstr>Feb!Expense7_BudgetJan</vt:lpstr>
      <vt:lpstr>Expense7_BudgetJan</vt:lpstr>
      <vt:lpstr>Expense7_BudgetJul</vt:lpstr>
      <vt:lpstr>Expense7_BudgetJun</vt:lpstr>
      <vt:lpstr>Expense7_BudgetMar</vt:lpstr>
      <vt:lpstr>Expense7_BudgetMay</vt:lpstr>
      <vt:lpstr>Expense7_BudgetNov</vt:lpstr>
      <vt:lpstr>Expense7_BudgetOct</vt:lpstr>
      <vt:lpstr>Expense7_BudgetSep</vt:lpstr>
      <vt:lpstr>Expense7_BudgetYEARLY</vt:lpstr>
      <vt:lpstr>Expense8_ActualApr</vt:lpstr>
      <vt:lpstr>Expense8_ActualAug</vt:lpstr>
      <vt:lpstr>Expense8_ActualDec</vt:lpstr>
      <vt:lpstr>Feb!Expense8_ActualFeb</vt:lpstr>
      <vt:lpstr>'Apr '!Expense8_ActualJan</vt:lpstr>
      <vt:lpstr>Aug!Expense8_ActualJan</vt:lpstr>
      <vt:lpstr>Dec!Expense8_ActualJan</vt:lpstr>
      <vt:lpstr>Feb!Expense8_ActualJan</vt:lpstr>
      <vt:lpstr>Expense8_ActualJan</vt:lpstr>
      <vt:lpstr>Expense8_ActualJul</vt:lpstr>
      <vt:lpstr>Expense8_ActualJun</vt:lpstr>
      <vt:lpstr>Expense8_ActualMar</vt:lpstr>
      <vt:lpstr>Expense8_ActualMay</vt:lpstr>
      <vt:lpstr>Expense8_ActualNov</vt:lpstr>
      <vt:lpstr>Expense8_ActualOct</vt:lpstr>
      <vt:lpstr>Expense8_ActualSep</vt:lpstr>
      <vt:lpstr>Expense8_ActualYEARLY</vt:lpstr>
      <vt:lpstr>Expense8_BudgetApr</vt:lpstr>
      <vt:lpstr>Expense8_BudgetAug</vt:lpstr>
      <vt:lpstr>Expense8_BudgetDec</vt:lpstr>
      <vt:lpstr>Feb!Expense8_BudgetFeb</vt:lpstr>
      <vt:lpstr>Expense8_BudgetFeb8</vt:lpstr>
      <vt:lpstr>'Apr '!Expense8_BudgetJan</vt:lpstr>
      <vt:lpstr>Aug!Expense8_BudgetJan</vt:lpstr>
      <vt:lpstr>Dec!Expense8_BudgetJan</vt:lpstr>
      <vt:lpstr>Feb!Expense8_BudgetJan</vt:lpstr>
      <vt:lpstr>Expense8_BudgetJan</vt:lpstr>
      <vt:lpstr>Expense8_BudgetJul</vt:lpstr>
      <vt:lpstr>Expense8_BudgetJun</vt:lpstr>
      <vt:lpstr>Expense8_BudgetMar</vt:lpstr>
      <vt:lpstr>Expense8_BudgetMay</vt:lpstr>
      <vt:lpstr>Expense8_BudgetNov</vt:lpstr>
      <vt:lpstr>Expense8_BudgetOct</vt:lpstr>
      <vt:lpstr>Expense8_BudgetSep</vt:lpstr>
      <vt:lpstr>Expense8_BudgetYEARLY</vt:lpstr>
      <vt:lpstr>Expense8i_BudgetFeb</vt:lpstr>
      <vt:lpstr>Expense9_ActualApr</vt:lpstr>
      <vt:lpstr>Expense9_ActualAug</vt:lpstr>
      <vt:lpstr>Expense9_ActualDec</vt:lpstr>
      <vt:lpstr>Expense9_ActualFeb</vt:lpstr>
      <vt:lpstr>'Apr '!Expense9_ActualJan</vt:lpstr>
      <vt:lpstr>Aug!Expense9_ActualJan</vt:lpstr>
      <vt:lpstr>Dec!Expense9_ActualJan</vt:lpstr>
      <vt:lpstr>Feb!Expense9_ActualJan</vt:lpstr>
      <vt:lpstr>Expense9_ActualJan</vt:lpstr>
      <vt:lpstr>Expense9_ActualJul</vt:lpstr>
      <vt:lpstr>Expense9_ActualJun</vt:lpstr>
      <vt:lpstr>Expense9_ActualMar</vt:lpstr>
      <vt:lpstr>Expense9_ActualMay</vt:lpstr>
      <vt:lpstr>Expense9_ActualNov</vt:lpstr>
      <vt:lpstr>Expense9_ActualOct</vt:lpstr>
      <vt:lpstr>Expense9_ActualSep</vt:lpstr>
      <vt:lpstr>Expense9_ActualYEARLY</vt:lpstr>
      <vt:lpstr>Expense9_BudgetApr</vt:lpstr>
      <vt:lpstr>Expense9_BudgetAug</vt:lpstr>
      <vt:lpstr>Expense9_BudgetDec</vt:lpstr>
      <vt:lpstr>Expense9_BudgetFeb</vt:lpstr>
      <vt:lpstr>'Apr '!Expense9_BudgetJan</vt:lpstr>
      <vt:lpstr>Aug!Expense9_BudgetJan</vt:lpstr>
      <vt:lpstr>Dec!Expense9_BudgetJan</vt:lpstr>
      <vt:lpstr>Feb!Expense9_BudgetJan</vt:lpstr>
      <vt:lpstr>Expense9_BudgetJan</vt:lpstr>
      <vt:lpstr>Expense9_BudgetJul</vt:lpstr>
      <vt:lpstr>Expense9_BudgetJun</vt:lpstr>
      <vt:lpstr>Expense9_BudgetMar</vt:lpstr>
      <vt:lpstr>Expense9_BudgetMay</vt:lpstr>
      <vt:lpstr>Expense9_BudgetNov</vt:lpstr>
      <vt:lpstr>Expense9_BudgetOct</vt:lpstr>
      <vt:lpstr>Expense9_BudgetSep</vt:lpstr>
      <vt:lpstr>Expense9_BudgetYEARLY</vt:lpstr>
      <vt:lpstr>Expenses_Apr_Overall_Under_Over</vt:lpstr>
      <vt:lpstr>Expenses_Aug_Overall_Under_Over</vt:lpstr>
      <vt:lpstr>Expenses_Dec_Overall_Under_Over</vt:lpstr>
      <vt:lpstr>Expenses_Feb_Overall_Under_Over</vt:lpstr>
      <vt:lpstr>Expenses_Jan_Overall_Under_Over</vt:lpstr>
      <vt:lpstr>Expenses_Jul_Overall_Under_Over</vt:lpstr>
      <vt:lpstr>Expenses_Jun_Overall_Under_Over</vt:lpstr>
      <vt:lpstr>Expenses_Mar_Overall_Under_Over</vt:lpstr>
      <vt:lpstr>Expenses_May_Overall_Under_Over</vt:lpstr>
      <vt:lpstr>Expenses_Name_Aug</vt:lpstr>
      <vt:lpstr>Feb!Expenses_Name_Feb</vt:lpstr>
      <vt:lpstr>'Apr '!Expenses_Name_Jan</vt:lpstr>
      <vt:lpstr>Aug!Expenses_Name_Jan</vt:lpstr>
      <vt:lpstr>Dec!Expenses_Name_Jan</vt:lpstr>
      <vt:lpstr>Feb!Expenses_Name_Jan</vt:lpstr>
      <vt:lpstr>Expenses_Name_Jan</vt:lpstr>
      <vt:lpstr>Expenses_Name_Jul</vt:lpstr>
      <vt:lpstr>Expenses_Name_Nov</vt:lpstr>
      <vt:lpstr>Expenses_Name_Oct</vt:lpstr>
      <vt:lpstr>Expenses_Name_Sep</vt:lpstr>
      <vt:lpstr>Expenses_Nov_Overall_Under_Over</vt:lpstr>
      <vt:lpstr>Expenses_Oct_Overall_Under_Over</vt:lpstr>
      <vt:lpstr>Expenses_Sep_Overall_Under_Over</vt:lpstr>
      <vt:lpstr>Family_and_Friend_Name_1</vt:lpstr>
      <vt:lpstr>Family_and_Friend_Name_2</vt:lpstr>
      <vt:lpstr>Family_and_Friend_Name_3</vt:lpstr>
      <vt:lpstr>Family_and_Friend_Name_4</vt:lpstr>
      <vt:lpstr>Family_and_Friend_Name_5</vt:lpstr>
      <vt:lpstr>Family_Friends_InitialAmount_Owed_1</vt:lpstr>
      <vt:lpstr>Family_Friends_InitialAmount_Owed_2</vt:lpstr>
      <vt:lpstr>Family_Friends_InitialAmount_Owed_3</vt:lpstr>
      <vt:lpstr>Family_Friends_InitialAmount_Owed_4</vt:lpstr>
      <vt:lpstr>Family_Friends_InitialAmount_Owed_5</vt:lpstr>
      <vt:lpstr>Financial_ScoreCard_Apr</vt:lpstr>
      <vt:lpstr>Financial_ScoreCard_Aug</vt:lpstr>
      <vt:lpstr>Financial_ScoreCard_Dec</vt:lpstr>
      <vt:lpstr>Financial_ScoreCard_Feb</vt:lpstr>
      <vt:lpstr>'Apr '!Financial_ScoreCard_Jan</vt:lpstr>
      <vt:lpstr>Aug!Financial_ScoreCard_Jan</vt:lpstr>
      <vt:lpstr>Dec!Financial_ScoreCard_Jan</vt:lpstr>
      <vt:lpstr>Financial_ScoreCard_Jan</vt:lpstr>
      <vt:lpstr>Financial_ScoreCard_Jul</vt:lpstr>
      <vt:lpstr>Financial_ScoreCard_Jun</vt:lpstr>
      <vt:lpstr>Financial_ScoreCard_Mar</vt:lpstr>
      <vt:lpstr>Financial_ScoreCard_May</vt:lpstr>
      <vt:lpstr>Financial_ScoreCard_Nov</vt:lpstr>
      <vt:lpstr>Financial_ScoreCard_Oct</vt:lpstr>
      <vt:lpstr>Financial_ScoreCard_Sep</vt:lpstr>
      <vt:lpstr>Financial_ScoreCard_YEARLY</vt:lpstr>
      <vt:lpstr>FinScor_Apr_Formal</vt:lpstr>
      <vt:lpstr>FinScor_Apr_Friends_family</vt:lpstr>
      <vt:lpstr>FinScor_Apr_Informal</vt:lpstr>
      <vt:lpstr>FinScor_Aug_Formal</vt:lpstr>
      <vt:lpstr>FinScor_Aug_Friends_family</vt:lpstr>
      <vt:lpstr>FinScor_Aug_Informal</vt:lpstr>
      <vt:lpstr>FinScor_Dec_Formal</vt:lpstr>
      <vt:lpstr>FinScor_Dec_Friends_family</vt:lpstr>
      <vt:lpstr>FinScor_Dec_Informal</vt:lpstr>
      <vt:lpstr>FinScor_Feb_Formal</vt:lpstr>
      <vt:lpstr>FinScor_Feb_Friends_family</vt:lpstr>
      <vt:lpstr>FinScor_Feb_Informal</vt:lpstr>
      <vt:lpstr>FinScor_Jan_formal</vt:lpstr>
      <vt:lpstr>FinScor_Jan_Friends_family</vt:lpstr>
      <vt:lpstr>FinScor_Jan_Informal</vt:lpstr>
      <vt:lpstr>FinScor_Jul_formal</vt:lpstr>
      <vt:lpstr>FinScor_Jul_Friends_family</vt:lpstr>
      <vt:lpstr>FinScor_Jul_Informal</vt:lpstr>
      <vt:lpstr>FinScor_Jun_Formal</vt:lpstr>
      <vt:lpstr>FinScor_Jun_Friends_family</vt:lpstr>
      <vt:lpstr>FinScor_Jun_Informal</vt:lpstr>
      <vt:lpstr>FinScor_Mar_Formal</vt:lpstr>
      <vt:lpstr>FinScor_Mar_Friends_family</vt:lpstr>
      <vt:lpstr>FinScor_Mar_Informal</vt:lpstr>
      <vt:lpstr>FinScor_May_Formal</vt:lpstr>
      <vt:lpstr>FinScor_May_Friends_family</vt:lpstr>
      <vt:lpstr>FinScor_May_Informal</vt:lpstr>
      <vt:lpstr>FinScor_Nov_Formal</vt:lpstr>
      <vt:lpstr>FinScor_Nov_Friends_family</vt:lpstr>
      <vt:lpstr>FinScor_Nov_Informal</vt:lpstr>
      <vt:lpstr>FinScor_Oct_Formal</vt:lpstr>
      <vt:lpstr>FinScor_Oct_Friends_family</vt:lpstr>
      <vt:lpstr>FinScor_Oct_Informal</vt:lpstr>
      <vt:lpstr>FinScor_Sep_formal</vt:lpstr>
      <vt:lpstr>FinScor_Sep_Friends_family</vt:lpstr>
      <vt:lpstr>FinScor_Sep_Informal</vt:lpstr>
      <vt:lpstr>Formal__Annual_Interest_1</vt:lpstr>
      <vt:lpstr>Formal__Annual_Interest_2</vt:lpstr>
      <vt:lpstr>Formal__Annual_Interest_3</vt:lpstr>
      <vt:lpstr>Formal__Annual_Interest_4</vt:lpstr>
      <vt:lpstr>Formal__Annual_Interest_5</vt:lpstr>
      <vt:lpstr>Formal__Annual_Interest_6</vt:lpstr>
      <vt:lpstr>Formal__Annual_Interest_7</vt:lpstr>
      <vt:lpstr>Formal__Annual_Interest_8</vt:lpstr>
      <vt:lpstr>Formal_1_payment</vt:lpstr>
      <vt:lpstr>Formal_2_Payment</vt:lpstr>
      <vt:lpstr>Formal_3_Paument</vt:lpstr>
      <vt:lpstr>Formal_4_Payment</vt:lpstr>
      <vt:lpstr>Formal_5_payment</vt:lpstr>
      <vt:lpstr>Formal_6_Payment</vt:lpstr>
      <vt:lpstr>Formal_7_Paymant</vt:lpstr>
      <vt:lpstr>Formal_8_Payment</vt:lpstr>
      <vt:lpstr>Formal_Annaul_Payment_1</vt:lpstr>
      <vt:lpstr>Formal_Annaul_Payment_2</vt:lpstr>
      <vt:lpstr>Formal_Annaul_Payment_3</vt:lpstr>
      <vt:lpstr>Formal_Annaul_Payment_4</vt:lpstr>
      <vt:lpstr>Formal_Annaul_Payment_5</vt:lpstr>
      <vt:lpstr>Formal_Annaul_Payment_6</vt:lpstr>
      <vt:lpstr>Formal_Annaul_Payment_7</vt:lpstr>
      <vt:lpstr>Formal_Annaul_Payment_8</vt:lpstr>
      <vt:lpstr>Formal_Annual_Payment</vt:lpstr>
      <vt:lpstr>Formal_Apr_SubTotal</vt:lpstr>
      <vt:lpstr>Formal_Aug_SubTotal</vt:lpstr>
      <vt:lpstr>Formal_Balance</vt:lpstr>
      <vt:lpstr>Formal_Balance_Feb</vt:lpstr>
      <vt:lpstr>Formal_Dec_SubTotal</vt:lpstr>
      <vt:lpstr>Formal_Feb_SubTotal</vt:lpstr>
      <vt:lpstr>Formal_IAO</vt:lpstr>
      <vt:lpstr>Formal_InitialAmount_Owed_1</vt:lpstr>
      <vt:lpstr>Formal_InitialAmount_Owed_2</vt:lpstr>
      <vt:lpstr>Formal_InitialAmount_Owed_3</vt:lpstr>
      <vt:lpstr>Formal_InitialAmount_Owed_4</vt:lpstr>
      <vt:lpstr>Formal_InitialAmount_Owed_5</vt:lpstr>
      <vt:lpstr>Formal_InitialAmount_Owed_6</vt:lpstr>
      <vt:lpstr>Formal_InitialAmount_Owed_7</vt:lpstr>
      <vt:lpstr>Formal_InitialAmount_Owed_8</vt:lpstr>
      <vt:lpstr>Formal_Interest</vt:lpstr>
      <vt:lpstr>Formal_Interest_1</vt:lpstr>
      <vt:lpstr>Formal_Interest_2</vt:lpstr>
      <vt:lpstr>Formal_Interest_3</vt:lpstr>
      <vt:lpstr>Formal_Interest_4</vt:lpstr>
      <vt:lpstr>Formal_Interest_5</vt:lpstr>
      <vt:lpstr>Formal_Interest_6</vt:lpstr>
      <vt:lpstr>Formal_Interest_7</vt:lpstr>
      <vt:lpstr>Formal_Interest_8</vt:lpstr>
      <vt:lpstr>Formal_Jan_SubTotal</vt:lpstr>
      <vt:lpstr>Formal_Jul_SubTotal</vt:lpstr>
      <vt:lpstr>Formal_Jun_SubTotal</vt:lpstr>
      <vt:lpstr>Formal_Mar_SubTotal</vt:lpstr>
      <vt:lpstr>Formal_May_SubTotal</vt:lpstr>
      <vt:lpstr>Formal_MI</vt:lpstr>
      <vt:lpstr>Formal_Minimum_Installment_1</vt:lpstr>
      <vt:lpstr>Formal_Minimum_Installment_2</vt:lpstr>
      <vt:lpstr>Formal_Minimum_Installment_3</vt:lpstr>
      <vt:lpstr>Formal_Minimum_Installment_4</vt:lpstr>
      <vt:lpstr>Formal_Minimum_Installment_5</vt:lpstr>
      <vt:lpstr>Formal_Minimum_Installment_6</vt:lpstr>
      <vt:lpstr>Formal_Minimum_Installment_7</vt:lpstr>
      <vt:lpstr>Formal_Minimum_Installment_8</vt:lpstr>
      <vt:lpstr>Formal_Minimum_Installments</vt:lpstr>
      <vt:lpstr>Formal_Name_1</vt:lpstr>
      <vt:lpstr>Formal_Name_2</vt:lpstr>
      <vt:lpstr>Formal_Name_3</vt:lpstr>
      <vt:lpstr>Formal_Name_4</vt:lpstr>
      <vt:lpstr>Formal_Name_5</vt:lpstr>
      <vt:lpstr>Formal_Name_6</vt:lpstr>
      <vt:lpstr>Formal_Name_7</vt:lpstr>
      <vt:lpstr>Formal_Name_8</vt:lpstr>
      <vt:lpstr>Formal_Nov_SubTotal</vt:lpstr>
      <vt:lpstr>Formal_Oct_SubTotal</vt:lpstr>
      <vt:lpstr>formal_Payment_Term</vt:lpstr>
      <vt:lpstr>Formal_PaymentTerm_1</vt:lpstr>
      <vt:lpstr>Formal_PaymentTerm_2</vt:lpstr>
      <vt:lpstr>Formal_PaymentTerm_3</vt:lpstr>
      <vt:lpstr>Formal_PaymentTerm_4</vt:lpstr>
      <vt:lpstr>Formal_PaymentTerm_5</vt:lpstr>
      <vt:lpstr>Formal_PaymentTerm_6</vt:lpstr>
      <vt:lpstr>Formal_PaymentTerm_7</vt:lpstr>
      <vt:lpstr>Formal_PaymentTerm_8</vt:lpstr>
      <vt:lpstr>Formal_perc_To_Goal_1</vt:lpstr>
      <vt:lpstr>Formal_perc_To_Goal_2</vt:lpstr>
      <vt:lpstr>Formal_perc_To_Goal_3</vt:lpstr>
      <vt:lpstr>Formal_perc_To_Goal_4</vt:lpstr>
      <vt:lpstr>Formal_perc_To_Goal_5</vt:lpstr>
      <vt:lpstr>Formal_perc_To_Goal_6</vt:lpstr>
      <vt:lpstr>Formal_perc_To_Goal_7</vt:lpstr>
      <vt:lpstr>Formal_perc_To_Goal_8</vt:lpstr>
      <vt:lpstr>Formal_Retail_MonthlySavings_Apr_1</vt:lpstr>
      <vt:lpstr>Formal_Retail_MonthlySavings_Apr_2</vt:lpstr>
      <vt:lpstr>Formal_Retail_MonthlySavings_Apr_3</vt:lpstr>
      <vt:lpstr>Formal_Retail_MonthlySavings_Apr_4</vt:lpstr>
      <vt:lpstr>Formal_Retail_MonthlySavings_Apr_5</vt:lpstr>
      <vt:lpstr>Formal_Retail_MonthlySavings_Apr_6</vt:lpstr>
      <vt:lpstr>Formal_Retail_MonthlySavings_Apr_7</vt:lpstr>
      <vt:lpstr>Formal_Retail_MonthlySavings_Apr_8</vt:lpstr>
      <vt:lpstr>Formal_Retail_MonthlySavings_Aug_1</vt:lpstr>
      <vt:lpstr>Formal_Retail_MonthlySavings_Aug_2</vt:lpstr>
      <vt:lpstr>Formal_Retail_MonthlySavings_Aug_3</vt:lpstr>
      <vt:lpstr>Formal_Retail_MonthlySavings_Aug_4</vt:lpstr>
      <vt:lpstr>Formal_Retail_MonthlySavings_Aug_5</vt:lpstr>
      <vt:lpstr>Formal_Retail_MonthlySavings_Aug_6</vt:lpstr>
      <vt:lpstr>Formal_Retail_MonthlySavings_Aug_7</vt:lpstr>
      <vt:lpstr>Formal_Retail_MonthlySavings_Aug_8</vt:lpstr>
      <vt:lpstr>Formal_Retail_MonthlySavings_Dec_1</vt:lpstr>
      <vt:lpstr>Formal_Retail_MonthlySavings_Dec_2</vt:lpstr>
      <vt:lpstr>Formal_Retail_MonthlySavings_Dec_3</vt:lpstr>
      <vt:lpstr>Formal_Retail_MonthlySavings_Dec_4</vt:lpstr>
      <vt:lpstr>Formal_Retail_MonthlySavings_Dec_5</vt:lpstr>
      <vt:lpstr>Formal_Retail_MonthlySavings_Dec_6</vt:lpstr>
      <vt:lpstr>Formal_Retail_MonthlySavings_Dec_7</vt:lpstr>
      <vt:lpstr>Formal_Retail_MonthlySavings_Dec_8</vt:lpstr>
      <vt:lpstr>Formal_Retail_MonthlySavings_Feb_1</vt:lpstr>
      <vt:lpstr>Formal_Retail_MonthlySavings_Feb_2</vt:lpstr>
      <vt:lpstr>Formal_Retail_MonthlySavings_Feb_3</vt:lpstr>
      <vt:lpstr>Formal_Retail_MonthlySavings_Feb_4</vt:lpstr>
      <vt:lpstr>Formal_Retail_MonthlySavings_Feb_5</vt:lpstr>
      <vt:lpstr>Formal_Retail_MonthlySavings_Feb_6</vt:lpstr>
      <vt:lpstr>Formal_Retail_MonthlySavings_Feb_7</vt:lpstr>
      <vt:lpstr>Formal_Retail_MonthlySavings_Feb_8</vt:lpstr>
      <vt:lpstr>Formal_Retail_MonthlySavings_Jan_1</vt:lpstr>
      <vt:lpstr>Formal_Retail_MonthlySavings_Jan_2</vt:lpstr>
      <vt:lpstr>Formal_Retail_MonthlySavings_Jan_3</vt:lpstr>
      <vt:lpstr>Formal_Retail_MonthlySavings_Jan_4</vt:lpstr>
      <vt:lpstr>Formal_Retail_MonthlySavings_Jan_5</vt:lpstr>
      <vt:lpstr>Formal_Retail_MonthlySavings_Jan_6</vt:lpstr>
      <vt:lpstr>Formal_Retail_MonthlySavings_Jan_7</vt:lpstr>
      <vt:lpstr>Formal_Retail_MonthlySavings_Jan_8</vt:lpstr>
      <vt:lpstr>Formal_Retail_MonthlySavings_Jul_1</vt:lpstr>
      <vt:lpstr>Formal_Retail_MonthlySavings_Jul_2</vt:lpstr>
      <vt:lpstr>Formal_Retail_MonthlySavings_Jul_3</vt:lpstr>
      <vt:lpstr>Formal_Retail_MonthlySavings_Jul_4</vt:lpstr>
      <vt:lpstr>Formal_Retail_MonthlySavings_Jul_5</vt:lpstr>
      <vt:lpstr>Formal_Retail_MonthlySavings_Jul_6</vt:lpstr>
      <vt:lpstr>Formal_Retail_MonthlySavings_Jul_7</vt:lpstr>
      <vt:lpstr>Formal_Retail_MonthlySavings_Jul_8</vt:lpstr>
      <vt:lpstr>Formal_Retail_MonthlySavings_Jun_1</vt:lpstr>
      <vt:lpstr>Formal_Retail_MonthlySavings_Jun_2</vt:lpstr>
      <vt:lpstr>Formal_Retail_MonthlySavings_Jun_3</vt:lpstr>
      <vt:lpstr>Formal_Retail_MonthlySavings_Jun_4</vt:lpstr>
      <vt:lpstr>Formal_Retail_MonthlySavings_Jun_5</vt:lpstr>
      <vt:lpstr>Formal_Retail_MonthlySavings_Jun_6</vt:lpstr>
      <vt:lpstr>Formal_Retail_MonthlySavings_Jun_7</vt:lpstr>
      <vt:lpstr>Formal_Retail_MonthlySavings_Jun_8</vt:lpstr>
      <vt:lpstr>Formal_Retail_MonthlySavings_Mar_1</vt:lpstr>
      <vt:lpstr>Formal_Retail_MonthlySavings_Mar_2</vt:lpstr>
      <vt:lpstr>Formal_Retail_MonthlySavings_Mar_3</vt:lpstr>
      <vt:lpstr>Formal_Retail_MonthlySavings_Mar_4</vt:lpstr>
      <vt:lpstr>Formal_Retail_MonthlySavings_Mar_5</vt:lpstr>
      <vt:lpstr>Formal_Retail_MonthlySavings_Mar_6</vt:lpstr>
      <vt:lpstr>Formal_Retail_MonthlySavings_Mar_7</vt:lpstr>
      <vt:lpstr>Formal_Retail_MonthlySavings_Mar_8</vt:lpstr>
      <vt:lpstr>Formal_Retail_MonthlySavings_May_1</vt:lpstr>
      <vt:lpstr>Formal_Retail_MonthlySavings_May_2</vt:lpstr>
      <vt:lpstr>Formal_Retail_MonthlySavings_May_3</vt:lpstr>
      <vt:lpstr>Formal_Retail_MonthlySavings_May_4</vt:lpstr>
      <vt:lpstr>Formal_Retail_MonthlySavings_May_5</vt:lpstr>
      <vt:lpstr>Formal_Retail_MonthlySavings_May_6</vt:lpstr>
      <vt:lpstr>Formal_Retail_MonthlySavings_May_7</vt:lpstr>
      <vt:lpstr>Formal_Retail_MonthlySavings_May_8</vt:lpstr>
      <vt:lpstr>Formal_Retail_MonthlySavings_Nov_1</vt:lpstr>
      <vt:lpstr>Formal_Retail_MonthlySavings_Nov_2</vt:lpstr>
      <vt:lpstr>Formal_Retail_MonthlySavings_Nov_3</vt:lpstr>
      <vt:lpstr>Formal_Retail_MonthlySavings_Nov_4</vt:lpstr>
      <vt:lpstr>Formal_Retail_MonthlySavings_Nov_5</vt:lpstr>
      <vt:lpstr>Formal_Retail_MonthlySavings_Nov_6</vt:lpstr>
      <vt:lpstr>Formal_Retail_MonthlySavings_Nov_7</vt:lpstr>
      <vt:lpstr>Formal_Retail_MonthlySavings_Nov_8</vt:lpstr>
      <vt:lpstr>Formal_Retail_MonthlySavings_Oct_1</vt:lpstr>
      <vt:lpstr>Formal_Retail_MonthlySavings_Oct_2</vt:lpstr>
      <vt:lpstr>Formal_Retail_MonthlySavings_Oct_3</vt:lpstr>
      <vt:lpstr>Formal_Retail_MonthlySavings_Oct_4</vt:lpstr>
      <vt:lpstr>Formal_Retail_MonthlySavings_Oct_5</vt:lpstr>
      <vt:lpstr>Formal_Retail_MonthlySavings_Oct_6</vt:lpstr>
      <vt:lpstr>Formal_Retail_MonthlySavings_Oct_7</vt:lpstr>
      <vt:lpstr>Formal_Retail_MonthlySavings_Oct_8</vt:lpstr>
      <vt:lpstr>Formal_Retail_MonthlySavings_Sep_1</vt:lpstr>
      <vt:lpstr>Formal_Retail_MonthlySavings_Sep_2</vt:lpstr>
      <vt:lpstr>Formal_Retail_MonthlySavings_Sep_3</vt:lpstr>
      <vt:lpstr>Formal_Retail_MonthlySavings_Sep_4</vt:lpstr>
      <vt:lpstr>Formal_Retail_MonthlySavings_Sep_5</vt:lpstr>
      <vt:lpstr>Formal_Retail_MonthlySavings_Sep_6</vt:lpstr>
      <vt:lpstr>Formal_Retail_MonthlySavings_Sep_7</vt:lpstr>
      <vt:lpstr>Formal_Retail_MonthlySavings_Sep_8</vt:lpstr>
      <vt:lpstr>Formal_Sep_SubTotal</vt:lpstr>
      <vt:lpstr>Formal_SubTotals</vt:lpstr>
      <vt:lpstr>Formal_TAP</vt:lpstr>
      <vt:lpstr>Formal_TAP_1</vt:lpstr>
      <vt:lpstr>Formal_TAP_2</vt:lpstr>
      <vt:lpstr>Formal_TAP_3</vt:lpstr>
      <vt:lpstr>Formal_TAP_4</vt:lpstr>
      <vt:lpstr>Formal_TAP_5</vt:lpstr>
      <vt:lpstr>Formal_TAP_6</vt:lpstr>
      <vt:lpstr>Formal_TAP_7</vt:lpstr>
      <vt:lpstr>Formal_TAP_8</vt:lpstr>
      <vt:lpstr>Formal_TATBP_1</vt:lpstr>
      <vt:lpstr>Formal_TATBP_2</vt:lpstr>
      <vt:lpstr>Formal_TATBP_3</vt:lpstr>
      <vt:lpstr>Formal_TATBP_4</vt:lpstr>
      <vt:lpstr>Formal_TATBP_5</vt:lpstr>
      <vt:lpstr>Formal_TATBP_6</vt:lpstr>
      <vt:lpstr>Formal_TATBP_7</vt:lpstr>
      <vt:lpstr>Formal_TATBP_8</vt:lpstr>
      <vt:lpstr>Formal_TCC</vt:lpstr>
      <vt:lpstr>Formal_TCC_1</vt:lpstr>
      <vt:lpstr>Formal_TCC_2</vt:lpstr>
      <vt:lpstr>Formal_TCC_3</vt:lpstr>
      <vt:lpstr>Formal_TCC_4</vt:lpstr>
      <vt:lpstr>Formal_TCC_5</vt:lpstr>
      <vt:lpstr>Formal_TCC_6</vt:lpstr>
      <vt:lpstr>Formal_TCC_7</vt:lpstr>
      <vt:lpstr>Formal_TCC_8</vt:lpstr>
      <vt:lpstr>Formal_Total_perc_To_Goal</vt:lpstr>
      <vt:lpstr>Formal_TotalAmount_To_be_paid</vt:lpstr>
      <vt:lpstr>Friends_family_1_payment</vt:lpstr>
      <vt:lpstr>Friends_family_2_payment</vt:lpstr>
      <vt:lpstr>Friends_family_3_payment</vt:lpstr>
      <vt:lpstr>Friends_family_4_payment</vt:lpstr>
      <vt:lpstr>Friends_family_5_payment</vt:lpstr>
      <vt:lpstr>Friends_family_Annual_Payment</vt:lpstr>
      <vt:lpstr>Friends_family_Annual_Payment_1</vt:lpstr>
      <vt:lpstr>Friends_family_Annual_Payment_2</vt:lpstr>
      <vt:lpstr>Friends_family_Annual_Payment_3</vt:lpstr>
      <vt:lpstr>Friends_family_Annual_Payment_4</vt:lpstr>
      <vt:lpstr>Friends_family_Annual_Payment_5</vt:lpstr>
      <vt:lpstr>Friends_family_Apr_SubTotal</vt:lpstr>
      <vt:lpstr>Friends_family_Aug_SubTotal</vt:lpstr>
      <vt:lpstr>Friends_family_Balance</vt:lpstr>
      <vt:lpstr>Friends_family_Balance_Feb</vt:lpstr>
      <vt:lpstr>Friends_family_Dec_SubTotal</vt:lpstr>
      <vt:lpstr>Friends_family_Feb_SubTotal</vt:lpstr>
      <vt:lpstr>Friends_family_IAO</vt:lpstr>
      <vt:lpstr>Friends_family_Interest</vt:lpstr>
      <vt:lpstr>Friends_family_Interest_1</vt:lpstr>
      <vt:lpstr>Friends_family_Interest_2</vt:lpstr>
      <vt:lpstr>Friends_family_Interest_3</vt:lpstr>
      <vt:lpstr>Friends_family_Interest_4</vt:lpstr>
      <vt:lpstr>Friends_family_Interest_5</vt:lpstr>
      <vt:lpstr>Friends_family_Jan_SubTotal</vt:lpstr>
      <vt:lpstr>Friends_family_Jul_SubTotal</vt:lpstr>
      <vt:lpstr>Friends_family_Jun_SubTotal</vt:lpstr>
      <vt:lpstr>Friends_family_Mar_SubTotal</vt:lpstr>
      <vt:lpstr>Friends_family_May_SubTotal</vt:lpstr>
      <vt:lpstr>Friends_family_MI</vt:lpstr>
      <vt:lpstr>Friends_family_Minimum_Installment_1</vt:lpstr>
      <vt:lpstr>Friends_family_Minimum_Installment_2</vt:lpstr>
      <vt:lpstr>Friends_family_Minimum_Installment_3</vt:lpstr>
      <vt:lpstr>Friends_family_Minimum_Installment_4</vt:lpstr>
      <vt:lpstr>Friends_family_Minimum_Installment_5</vt:lpstr>
      <vt:lpstr>Friends_family_Minimum_Installments</vt:lpstr>
      <vt:lpstr>Friends_family_Nov_SubTotal</vt:lpstr>
      <vt:lpstr>Friends_family_Oct_SubTotal</vt:lpstr>
      <vt:lpstr>Friends_Family_Payment_Terms</vt:lpstr>
      <vt:lpstr>Friends_family_PaymentTerm_1</vt:lpstr>
      <vt:lpstr>Friends_family_PaymentTerm_2</vt:lpstr>
      <vt:lpstr>Friends_family_PaymentTerm_3</vt:lpstr>
      <vt:lpstr>Friends_family_PaymentTerm_4</vt:lpstr>
      <vt:lpstr>Friends_family_PaymentTerm_5</vt:lpstr>
      <vt:lpstr>Friends_family_perc_To_Goal_1</vt:lpstr>
      <vt:lpstr>Friends_family_perc_To_Goal_2</vt:lpstr>
      <vt:lpstr>Friends_family_perc_To_Goal_3</vt:lpstr>
      <vt:lpstr>Friends_family_perc_To_Goal_4</vt:lpstr>
      <vt:lpstr>Friends_family_perc_To_Goal_5</vt:lpstr>
      <vt:lpstr>Friends_family_Sep_SubTotal</vt:lpstr>
      <vt:lpstr>Friends_family_SubTotals</vt:lpstr>
      <vt:lpstr>Friends_family_TAP</vt:lpstr>
      <vt:lpstr>Friends_family_TAP_1</vt:lpstr>
      <vt:lpstr>Friends_family_TAP_2</vt:lpstr>
      <vt:lpstr>Friends_family_TAP_3</vt:lpstr>
      <vt:lpstr>Friends_family_TAP_4</vt:lpstr>
      <vt:lpstr>Friends_family_TAP_5</vt:lpstr>
      <vt:lpstr>Friends_family_TATBP_1</vt:lpstr>
      <vt:lpstr>Friends_family_TATBP_2</vt:lpstr>
      <vt:lpstr>Friends_family_TATBP_3</vt:lpstr>
      <vt:lpstr>Friends_family_TATBP_4</vt:lpstr>
      <vt:lpstr>Friends_family_TATBP_5</vt:lpstr>
      <vt:lpstr>Friends_family_TCC</vt:lpstr>
      <vt:lpstr>Friends_family_TCC_1</vt:lpstr>
      <vt:lpstr>Friends_family_TCC_2</vt:lpstr>
      <vt:lpstr>Friends_family_TCC_3</vt:lpstr>
      <vt:lpstr>Friends_family_TCC_4</vt:lpstr>
      <vt:lpstr>Friends_family_TCC_5</vt:lpstr>
      <vt:lpstr>Friends_family_Total_perc_To_Goal</vt:lpstr>
      <vt:lpstr>Friends_family_TotalAmount_To_be_paid</vt:lpstr>
      <vt:lpstr>FriendsFamily__Annual_Interest_1</vt:lpstr>
      <vt:lpstr>FriendsFamily__Annual_Interest_2</vt:lpstr>
      <vt:lpstr>FriendsFamily__Annual_Interest_3</vt:lpstr>
      <vt:lpstr>FriendsFamily__Annual_Interest_4</vt:lpstr>
      <vt:lpstr>FriendsFamily__Annual_Interest_5</vt:lpstr>
      <vt:lpstr>Goal_Amount_Total</vt:lpstr>
      <vt:lpstr>Goal_AnnualInterest</vt:lpstr>
      <vt:lpstr>Goal_GA</vt:lpstr>
      <vt:lpstr>Goal_toPercentage</vt:lpstr>
      <vt:lpstr>Goal1_Annual_Savings</vt:lpstr>
      <vt:lpstr>Goal2_Annual_Savings</vt:lpstr>
      <vt:lpstr>Goal3_Annual_Savings</vt:lpstr>
      <vt:lpstr>Goal4_Annual_Savings</vt:lpstr>
      <vt:lpstr>Goals_1_Monthly_Savings</vt:lpstr>
      <vt:lpstr>Goals_1_Savings</vt:lpstr>
      <vt:lpstr>Goals_2_Monthly_Savings</vt:lpstr>
      <vt:lpstr>Goals_3_Monthly_Savings</vt:lpstr>
      <vt:lpstr>Goals_4_Monthly_Savings</vt:lpstr>
      <vt:lpstr>Goals_Actual_Apr</vt:lpstr>
      <vt:lpstr>Goals_Actual_Aug</vt:lpstr>
      <vt:lpstr>Goals_Actual_Dec</vt:lpstr>
      <vt:lpstr>Goals_Actual_Feb</vt:lpstr>
      <vt:lpstr>Goals_Actual_Jan</vt:lpstr>
      <vt:lpstr>Goals_Actual_Jul</vt:lpstr>
      <vt:lpstr>Goals_Actual_Jun</vt:lpstr>
      <vt:lpstr>Goals_Actual_Mar</vt:lpstr>
      <vt:lpstr>Goals_Actual_May</vt:lpstr>
      <vt:lpstr>Goals_Actual_Nov</vt:lpstr>
      <vt:lpstr>Goals_Actual_Oct</vt:lpstr>
      <vt:lpstr>Goals_Actual_Sep</vt:lpstr>
      <vt:lpstr>Goals_Actual_YEARLY</vt:lpstr>
      <vt:lpstr>Goals_AnnualSavings</vt:lpstr>
      <vt:lpstr>Goals_Apr_SubTotal</vt:lpstr>
      <vt:lpstr>Goals_AprSavings</vt:lpstr>
      <vt:lpstr>Goals_Aug_SubTotal</vt:lpstr>
      <vt:lpstr>Goals_AugSavings</vt:lpstr>
      <vt:lpstr>Goals_Dec_SubTotal</vt:lpstr>
      <vt:lpstr>Goals_DecSavings</vt:lpstr>
      <vt:lpstr>Goals_Feb_SubTotal</vt:lpstr>
      <vt:lpstr>Goals_FebSavings</vt:lpstr>
      <vt:lpstr>Goals_Interest</vt:lpstr>
      <vt:lpstr>'Apr '!Goals_Jan_Dashboard</vt:lpstr>
      <vt:lpstr>Aug!Goals_Jan_Dashboard</vt:lpstr>
      <vt:lpstr>Dec!Goals_Jan_Dashboard</vt:lpstr>
      <vt:lpstr>Feb!Goals_Jan_Dashboard</vt:lpstr>
      <vt:lpstr>Goals_Jan_Dashboard</vt:lpstr>
      <vt:lpstr>Goals_Jan_SubTotal</vt:lpstr>
      <vt:lpstr>Goals_JanSavings</vt:lpstr>
      <vt:lpstr>Goals_Jul_SubTotal</vt:lpstr>
      <vt:lpstr>Goals_JulSavings</vt:lpstr>
      <vt:lpstr>Goals_Jun_SubTotal</vt:lpstr>
      <vt:lpstr>Goals_JunSavings</vt:lpstr>
      <vt:lpstr>Goals_Mar_SubTotal</vt:lpstr>
      <vt:lpstr>Goals_MarSavings</vt:lpstr>
      <vt:lpstr>Goals_May_SubTotal</vt:lpstr>
      <vt:lpstr>Goals_MaySavings</vt:lpstr>
      <vt:lpstr>Goals_MinSavings</vt:lpstr>
      <vt:lpstr>Goals_Nov_SubTotal</vt:lpstr>
      <vt:lpstr>Goals_NovSavings</vt:lpstr>
      <vt:lpstr>Goals_Oct_SubTotal</vt:lpstr>
      <vt:lpstr>Goals_OctSavings</vt:lpstr>
      <vt:lpstr>Goals_SavingsInvestmentsTo_beMade</vt:lpstr>
      <vt:lpstr>Goals_SavingsTo_beMade</vt:lpstr>
      <vt:lpstr>Goals_SavingTerm</vt:lpstr>
      <vt:lpstr>Goals_Sep_SubTotal</vt:lpstr>
      <vt:lpstr>Goals_SepSavings</vt:lpstr>
      <vt:lpstr>Goals_ShortNames</vt:lpstr>
      <vt:lpstr>Goals_SubTotals</vt:lpstr>
      <vt:lpstr>Goals_Total_AnnualSavings</vt:lpstr>
      <vt:lpstr>Goals_Total_perc_To_Goal</vt:lpstr>
      <vt:lpstr>Goals_Total_Savings_To_Be_Made</vt:lpstr>
      <vt:lpstr>Goals_Total_ValueSavings</vt:lpstr>
      <vt:lpstr>Income_Apr_Overall_Under_Over</vt:lpstr>
      <vt:lpstr>Income_Aug_Overall_Under_Over</vt:lpstr>
      <vt:lpstr>Income_Dec_Overall_Under_Over</vt:lpstr>
      <vt:lpstr>Income_Feb_Overall_Under_Over</vt:lpstr>
      <vt:lpstr>Income_Jan_Overall_Under_Over</vt:lpstr>
      <vt:lpstr>Income_Jul_Overall_Under_Over</vt:lpstr>
      <vt:lpstr>Income_Jun_Overall_Under_Over</vt:lpstr>
      <vt:lpstr>Income_Mar_Overall_Under_Over</vt:lpstr>
      <vt:lpstr>Income_May_Overall_Under_Over</vt:lpstr>
      <vt:lpstr>Income_Name_Apr</vt:lpstr>
      <vt:lpstr>Income_Name_Aug</vt:lpstr>
      <vt:lpstr>Feb!Income_Name_Feb</vt:lpstr>
      <vt:lpstr>'Apr '!Income_Name_Jan</vt:lpstr>
      <vt:lpstr>Aug!Income_Name_Jan</vt:lpstr>
      <vt:lpstr>Dec!Income_Name_Jan</vt:lpstr>
      <vt:lpstr>Feb!Income_Name_Jan</vt:lpstr>
      <vt:lpstr>Income_Name_Jan</vt:lpstr>
      <vt:lpstr>Income_Name_Jul</vt:lpstr>
      <vt:lpstr>Income_Name_Jun</vt:lpstr>
      <vt:lpstr>Income_Name_Mar</vt:lpstr>
      <vt:lpstr>Income_Name_May</vt:lpstr>
      <vt:lpstr>Income_Name_Nov</vt:lpstr>
      <vt:lpstr>Income_Name_Oct</vt:lpstr>
      <vt:lpstr>Income_Name_Sep</vt:lpstr>
      <vt:lpstr>Income_Name_YEARLY</vt:lpstr>
      <vt:lpstr>Income_Nov_Overall_Under_Over</vt:lpstr>
      <vt:lpstr>Income_Oct_Overall_Under_Over</vt:lpstr>
      <vt:lpstr>Income_Perc_Feb</vt:lpstr>
      <vt:lpstr>Income_Sep_Overall_Under_Over</vt:lpstr>
      <vt:lpstr>Income_YEARLY_Overall_Under_Over</vt:lpstr>
      <vt:lpstr>Income1_ActualApr</vt:lpstr>
      <vt:lpstr>Income1_ActualAug</vt:lpstr>
      <vt:lpstr>Income1_ActualDec</vt:lpstr>
      <vt:lpstr>Income1_ActualFeb</vt:lpstr>
      <vt:lpstr>Income1_ActualJan</vt:lpstr>
      <vt:lpstr>Income1_ActualJul</vt:lpstr>
      <vt:lpstr>Income1_ActualJun</vt:lpstr>
      <vt:lpstr>Income1_ActualMar</vt:lpstr>
      <vt:lpstr>Income1_ActualMay</vt:lpstr>
      <vt:lpstr>Income1_ActualNov</vt:lpstr>
      <vt:lpstr>Income1_ActualOct</vt:lpstr>
      <vt:lpstr>Income1_ActualSep</vt:lpstr>
      <vt:lpstr>Income1_BudgetApr</vt:lpstr>
      <vt:lpstr>Income1_BudgetAug</vt:lpstr>
      <vt:lpstr>Income1_BudgetDec</vt:lpstr>
      <vt:lpstr>Income1_BudgetFeb</vt:lpstr>
      <vt:lpstr>Income1_BudgetJan</vt:lpstr>
      <vt:lpstr>Income1_BudgetJul</vt:lpstr>
      <vt:lpstr>Income1_BudgetJun</vt:lpstr>
      <vt:lpstr>Income1_BudgetMar</vt:lpstr>
      <vt:lpstr>Income1_BudgetMay</vt:lpstr>
      <vt:lpstr>Income1_BudgetNov</vt:lpstr>
      <vt:lpstr>Income1_BudgetOct</vt:lpstr>
      <vt:lpstr>Income1_BudgetSep</vt:lpstr>
      <vt:lpstr>Income2_ActualApr</vt:lpstr>
      <vt:lpstr>Income2_ActualAug</vt:lpstr>
      <vt:lpstr>Income2_ActualDec</vt:lpstr>
      <vt:lpstr>Income2_ActualFeb</vt:lpstr>
      <vt:lpstr>Income2_ActualJan</vt:lpstr>
      <vt:lpstr>Income2_ActualJul</vt:lpstr>
      <vt:lpstr>Income2_ActualJun</vt:lpstr>
      <vt:lpstr>Income2_ActualMar</vt:lpstr>
      <vt:lpstr>Income2_ActualMay</vt:lpstr>
      <vt:lpstr>Income2_ActualNov</vt:lpstr>
      <vt:lpstr>Income2_ActualOct</vt:lpstr>
      <vt:lpstr>Income2_ActualSep</vt:lpstr>
      <vt:lpstr>Income2_BudgetApr</vt:lpstr>
      <vt:lpstr>Income2_BudgetAug</vt:lpstr>
      <vt:lpstr>Income2_BudgetDec</vt:lpstr>
      <vt:lpstr>Income2_BudgetFeb</vt:lpstr>
      <vt:lpstr>Income2_BudgetJan</vt:lpstr>
      <vt:lpstr>Income2_BudgetJul</vt:lpstr>
      <vt:lpstr>Income2_BudgetJun</vt:lpstr>
      <vt:lpstr>Income2_BudgetMar</vt:lpstr>
      <vt:lpstr>Income2_BudgetMay</vt:lpstr>
      <vt:lpstr>Income2_BudgetNov</vt:lpstr>
      <vt:lpstr>Income2_BudgetOct</vt:lpstr>
      <vt:lpstr>Income2_BudgetSep</vt:lpstr>
      <vt:lpstr>Income3_ActualApr</vt:lpstr>
      <vt:lpstr>Income3_ActualAug</vt:lpstr>
      <vt:lpstr>Income3_ActualDec</vt:lpstr>
      <vt:lpstr>Income3_ActualFeb</vt:lpstr>
      <vt:lpstr>Income3_ActualJan</vt:lpstr>
      <vt:lpstr>Income3_ActualJul</vt:lpstr>
      <vt:lpstr>Income3_ActualJun</vt:lpstr>
      <vt:lpstr>Income3_ActualMar</vt:lpstr>
      <vt:lpstr>Income3_ActualMay</vt:lpstr>
      <vt:lpstr>Income3_ActualNov</vt:lpstr>
      <vt:lpstr>Income3_ActualOct</vt:lpstr>
      <vt:lpstr>Income3_ActualSep</vt:lpstr>
      <vt:lpstr>Income3_BudgetApr</vt:lpstr>
      <vt:lpstr>Income3_BudgetAug</vt:lpstr>
      <vt:lpstr>Income3_BudgetDec</vt:lpstr>
      <vt:lpstr>Income3_BudgetFeb</vt:lpstr>
      <vt:lpstr>Income3_BudgetJan</vt:lpstr>
      <vt:lpstr>Income3_BudgetJul</vt:lpstr>
      <vt:lpstr>Income3_BudgetJun</vt:lpstr>
      <vt:lpstr>Income3_BudgetMar</vt:lpstr>
      <vt:lpstr>Income3_BudgetMay</vt:lpstr>
      <vt:lpstr>Income3_BudgetNov</vt:lpstr>
      <vt:lpstr>Income3_BudgetOct</vt:lpstr>
      <vt:lpstr>Income3_BudgetSep</vt:lpstr>
      <vt:lpstr>Income4_ActualApr</vt:lpstr>
      <vt:lpstr>Income4_ActualAug</vt:lpstr>
      <vt:lpstr>Income4_ActualDec</vt:lpstr>
      <vt:lpstr>Income4_ActualFeb</vt:lpstr>
      <vt:lpstr>Income4_ActualJan</vt:lpstr>
      <vt:lpstr>Income4_ActualJul</vt:lpstr>
      <vt:lpstr>Income4_ActualJun</vt:lpstr>
      <vt:lpstr>Income4_ActualMar</vt:lpstr>
      <vt:lpstr>Income4_ActualMay</vt:lpstr>
      <vt:lpstr>Income4_ActualNov</vt:lpstr>
      <vt:lpstr>Income4_ActualOct</vt:lpstr>
      <vt:lpstr>Income4_ActualSep</vt:lpstr>
      <vt:lpstr>Income4_BudgetApr</vt:lpstr>
      <vt:lpstr>Income4_BudgetAug</vt:lpstr>
      <vt:lpstr>Income4_BudgetDec</vt:lpstr>
      <vt:lpstr>Income4_BudgetFeb</vt:lpstr>
      <vt:lpstr>Income4_BudgetJan</vt:lpstr>
      <vt:lpstr>Income4_BudgetJul</vt:lpstr>
      <vt:lpstr>Income4_BudgetJun</vt:lpstr>
      <vt:lpstr>Income4_BudgetMar</vt:lpstr>
      <vt:lpstr>Income4_BudgetMay</vt:lpstr>
      <vt:lpstr>Income4_BudgetNov</vt:lpstr>
      <vt:lpstr>Income4_BudgetOct</vt:lpstr>
      <vt:lpstr>Income4_BudgetSep</vt:lpstr>
      <vt:lpstr>Income5_ActualApr</vt:lpstr>
      <vt:lpstr>Income5_ActualAug</vt:lpstr>
      <vt:lpstr>Income5_ActualDec</vt:lpstr>
      <vt:lpstr>Income5_ActualFeb</vt:lpstr>
      <vt:lpstr>Income5_ActualJan</vt:lpstr>
      <vt:lpstr>Income5_ActualJul</vt:lpstr>
      <vt:lpstr>Income5_ActualJun</vt:lpstr>
      <vt:lpstr>Income5_ActualMar</vt:lpstr>
      <vt:lpstr>Income5_ActualMay</vt:lpstr>
      <vt:lpstr>Income5_ActualNov</vt:lpstr>
      <vt:lpstr>Income5_ActualOct</vt:lpstr>
      <vt:lpstr>Income5_ActualSep</vt:lpstr>
      <vt:lpstr>Income5_BudgetApr</vt:lpstr>
      <vt:lpstr>Income5_BudgetAug</vt:lpstr>
      <vt:lpstr>Income5_BudgetDec</vt:lpstr>
      <vt:lpstr>Income5_BudgetFeb</vt:lpstr>
      <vt:lpstr>Income5_BudgetJan</vt:lpstr>
      <vt:lpstr>Income5_BudgetJul</vt:lpstr>
      <vt:lpstr>Income5_BudgetJun</vt:lpstr>
      <vt:lpstr>Income5_BudgetMar</vt:lpstr>
      <vt:lpstr>Income5_BudgetMay</vt:lpstr>
      <vt:lpstr>Income5_BudgetNov</vt:lpstr>
      <vt:lpstr>Income5_BudgetOct</vt:lpstr>
      <vt:lpstr>Income5_BudgetSep</vt:lpstr>
      <vt:lpstr>Income6_ActualApr</vt:lpstr>
      <vt:lpstr>Income6_ActualAug</vt:lpstr>
      <vt:lpstr>Income6_ActualDec</vt:lpstr>
      <vt:lpstr>Income6_ActualFeb</vt:lpstr>
      <vt:lpstr>Income6_ActualJan</vt:lpstr>
      <vt:lpstr>Income6_ActualJul</vt:lpstr>
      <vt:lpstr>Income6_ActualJun</vt:lpstr>
      <vt:lpstr>Income6_ActualMar</vt:lpstr>
      <vt:lpstr>Income6_ActualMay</vt:lpstr>
      <vt:lpstr>Income6_ActualNov</vt:lpstr>
      <vt:lpstr>Income6_ActualOct</vt:lpstr>
      <vt:lpstr>Income6_ActualSep</vt:lpstr>
      <vt:lpstr>Income6_BudgetApr</vt:lpstr>
      <vt:lpstr>Income6_BudgetAug</vt:lpstr>
      <vt:lpstr>Income6_BudgetDec</vt:lpstr>
      <vt:lpstr>Income6_BudgetFeb</vt:lpstr>
      <vt:lpstr>Income6_BudgetJan</vt:lpstr>
      <vt:lpstr>Income6_BudgetJul</vt:lpstr>
      <vt:lpstr>Income6_BudgetJun</vt:lpstr>
      <vt:lpstr>Income6_BudgetMar</vt:lpstr>
      <vt:lpstr>Income6_BudgetMay</vt:lpstr>
      <vt:lpstr>Income6_BudgetNov</vt:lpstr>
      <vt:lpstr>Income6_BudgetOct</vt:lpstr>
      <vt:lpstr>Income6_BudgetSep</vt:lpstr>
      <vt:lpstr>Income7_ActualApr</vt:lpstr>
      <vt:lpstr>Income7_ActualAug</vt:lpstr>
      <vt:lpstr>Income7_ActualDec</vt:lpstr>
      <vt:lpstr>Income7_ActualFeb</vt:lpstr>
      <vt:lpstr>Income7_ActualJan</vt:lpstr>
      <vt:lpstr>Income7_ActualJul</vt:lpstr>
      <vt:lpstr>Income7_ActualJun</vt:lpstr>
      <vt:lpstr>Income7_ActualMar</vt:lpstr>
      <vt:lpstr>Income7_ActualMay</vt:lpstr>
      <vt:lpstr>Income7_ActualNov</vt:lpstr>
      <vt:lpstr>Income7_ActualOct</vt:lpstr>
      <vt:lpstr>Income7_ActualSep</vt:lpstr>
      <vt:lpstr>Income7_BudgetApr</vt:lpstr>
      <vt:lpstr>Income7_BudgetAug</vt:lpstr>
      <vt:lpstr>Income7_BudgetDec</vt:lpstr>
      <vt:lpstr>Income7_BudgetFeb</vt:lpstr>
      <vt:lpstr>Income7_BudgetJan</vt:lpstr>
      <vt:lpstr>Income7_BudgetJul</vt:lpstr>
      <vt:lpstr>Income7_BudgetJun</vt:lpstr>
      <vt:lpstr>Income7_BudgetMar</vt:lpstr>
      <vt:lpstr>Income7_BudgetNov</vt:lpstr>
      <vt:lpstr>Income7_BudgetOct</vt:lpstr>
      <vt:lpstr>Income7_BudgetSep</vt:lpstr>
      <vt:lpstr>Income7BudgetMay</vt:lpstr>
      <vt:lpstr>Income8_ActualApr</vt:lpstr>
      <vt:lpstr>Income8_ActualAug</vt:lpstr>
      <vt:lpstr>Income8_ActualDec</vt:lpstr>
      <vt:lpstr>Income8_ActualFeb</vt:lpstr>
      <vt:lpstr>Income8_ActualJan</vt:lpstr>
      <vt:lpstr>Income8_ActualJul</vt:lpstr>
      <vt:lpstr>Income8_ActualJun</vt:lpstr>
      <vt:lpstr>Income8_ActualMar</vt:lpstr>
      <vt:lpstr>Income8_ActualMay</vt:lpstr>
      <vt:lpstr>Income8_ActualNov</vt:lpstr>
      <vt:lpstr>Income8_ActualOct</vt:lpstr>
      <vt:lpstr>Income8_ActualSep</vt:lpstr>
      <vt:lpstr>Income8_BudgetApr</vt:lpstr>
      <vt:lpstr>Income8_BudgetAug</vt:lpstr>
      <vt:lpstr>Income8_BudgetDec</vt:lpstr>
      <vt:lpstr>Income8_BudgetFeb</vt:lpstr>
      <vt:lpstr>Income8_BudgetJan</vt:lpstr>
      <vt:lpstr>Income8_BudgetJul</vt:lpstr>
      <vt:lpstr>Income8_BudgetJun</vt:lpstr>
      <vt:lpstr>Income8_BudgetMar</vt:lpstr>
      <vt:lpstr>Income8_BudgetMay</vt:lpstr>
      <vt:lpstr>Income8_BudgetNov</vt:lpstr>
      <vt:lpstr>Income8_BudgetOct</vt:lpstr>
      <vt:lpstr>Income8_BudgetSep</vt:lpstr>
      <vt:lpstr>Informal__Annual_Interest_1</vt:lpstr>
      <vt:lpstr>Informal__Annual_Interest_2</vt:lpstr>
      <vt:lpstr>Informal__Annual_Interest_3</vt:lpstr>
      <vt:lpstr>Informal__Annual_Interest_4</vt:lpstr>
      <vt:lpstr>Informal__Annual_Interest_5</vt:lpstr>
      <vt:lpstr>Informal_1_payment</vt:lpstr>
      <vt:lpstr>Informal_2_payment</vt:lpstr>
      <vt:lpstr>Informal_3_payment</vt:lpstr>
      <vt:lpstr>Informal_4_payment</vt:lpstr>
      <vt:lpstr>Informal_5_payment</vt:lpstr>
      <vt:lpstr>Informal_Annual_Payment</vt:lpstr>
      <vt:lpstr>Informal_Annual_Payment_1</vt:lpstr>
      <vt:lpstr>Informal_Annual_Payment_2</vt:lpstr>
      <vt:lpstr>Informal_Annual_Payment_3</vt:lpstr>
      <vt:lpstr>Informal_Annual_Payment_4</vt:lpstr>
      <vt:lpstr>Informal_Annual_Payment_5</vt:lpstr>
      <vt:lpstr>Informal_Apr_SubTotal</vt:lpstr>
      <vt:lpstr>Informal_Aug_SubTotal</vt:lpstr>
      <vt:lpstr>Informal_Balance</vt:lpstr>
      <vt:lpstr>Informal_Balance_Feb</vt:lpstr>
      <vt:lpstr>Informal_Dec_SubTotal</vt:lpstr>
      <vt:lpstr>Informal_Feb_SubTotal</vt:lpstr>
      <vt:lpstr>Informal_IAO</vt:lpstr>
      <vt:lpstr>Informal_InitialAmount_Owed_1</vt:lpstr>
      <vt:lpstr>Informal_InitialAmount_Owed_2</vt:lpstr>
      <vt:lpstr>Informal_InitialAmount_Owed_3</vt:lpstr>
      <vt:lpstr>Informal_InitialAmount_Owed_4</vt:lpstr>
      <vt:lpstr>Informal_InitialAmount_Owed_5</vt:lpstr>
      <vt:lpstr>Informal_Interest</vt:lpstr>
      <vt:lpstr>Informal_Interest_1</vt:lpstr>
      <vt:lpstr>Informal_Interest_2</vt:lpstr>
      <vt:lpstr>Informal_Interest_3</vt:lpstr>
      <vt:lpstr>Informal_Interest_4</vt:lpstr>
      <vt:lpstr>Informal_Interest_5</vt:lpstr>
      <vt:lpstr>Informal_Jan_SubTotal</vt:lpstr>
      <vt:lpstr>Informal_Jul_SubTotal</vt:lpstr>
      <vt:lpstr>Informal_Jun_SubTotal</vt:lpstr>
      <vt:lpstr>Informal_Mar_SubTotal</vt:lpstr>
      <vt:lpstr>Informal_May_SubTotal</vt:lpstr>
      <vt:lpstr>Informal_MI</vt:lpstr>
      <vt:lpstr>Informal_Minimum_Installment_1</vt:lpstr>
      <vt:lpstr>Informal_Minimum_Installment_2</vt:lpstr>
      <vt:lpstr>Informal_Minimum_Installment_3</vt:lpstr>
      <vt:lpstr>Informal_Minimum_Installment_4</vt:lpstr>
      <vt:lpstr>Informal_Minimum_Installment_5</vt:lpstr>
      <vt:lpstr>Informal_Minimum_Installments</vt:lpstr>
      <vt:lpstr>Informal_MonthlySavings_Apr_1</vt:lpstr>
      <vt:lpstr>Informal_MonthlySavings_Apr_2</vt:lpstr>
      <vt:lpstr>Informal_MonthlySavings_Apr_3</vt:lpstr>
      <vt:lpstr>Informal_MonthlySavings_Apr_4</vt:lpstr>
      <vt:lpstr>Informal_MonthlySavings_Apr_5</vt:lpstr>
      <vt:lpstr>Informal_MonthlySavings_Feb_1</vt:lpstr>
      <vt:lpstr>Informal_MonthlySavings_Feb_2</vt:lpstr>
      <vt:lpstr>Informal_MonthlySavings_Feb_3</vt:lpstr>
      <vt:lpstr>Informal_MonthlySavings_Feb_4</vt:lpstr>
      <vt:lpstr>Informal_MonthlySavings_Feb_5</vt:lpstr>
      <vt:lpstr>Informal_MonthlySavings_Jan_1</vt:lpstr>
      <vt:lpstr>Informal_MonthlySavings_Jan_2</vt:lpstr>
      <vt:lpstr>Informal_MonthlySavings_Jan_3</vt:lpstr>
      <vt:lpstr>Informal_MonthlySavings_Jan_4</vt:lpstr>
      <vt:lpstr>Informal_MonthlySavings_Jan_5</vt:lpstr>
      <vt:lpstr>Informal_MonthlySavings_Jun_1</vt:lpstr>
      <vt:lpstr>Informal_MonthlySavings_Jun_2</vt:lpstr>
      <vt:lpstr>Informal_MonthlySavings_Jun_3</vt:lpstr>
      <vt:lpstr>Informal_MonthlySavings_Jun_4</vt:lpstr>
      <vt:lpstr>Informal_MonthlySavings_Jun_5</vt:lpstr>
      <vt:lpstr>Informal_MonthlySavings_Mar_1</vt:lpstr>
      <vt:lpstr>Informal_MonthlySavings_Mar_2</vt:lpstr>
      <vt:lpstr>Informal_MonthlySavings_Mar_3</vt:lpstr>
      <vt:lpstr>Informal_MonthlySavings_Mar_4</vt:lpstr>
      <vt:lpstr>Informal_MonthlySavings_Mar_5</vt:lpstr>
      <vt:lpstr>Informal_MonthlySavings_May_1</vt:lpstr>
      <vt:lpstr>Informal_MonthlySavings_May_2</vt:lpstr>
      <vt:lpstr>Informal_MonthlySavings_May_3</vt:lpstr>
      <vt:lpstr>Informal_MonthlySavings_May_4</vt:lpstr>
      <vt:lpstr>Informal_MonthlySavings_May_5</vt:lpstr>
      <vt:lpstr>Informal_Name_1</vt:lpstr>
      <vt:lpstr>Informal_Name_2</vt:lpstr>
      <vt:lpstr>Informal_Name_3</vt:lpstr>
      <vt:lpstr>Informal_Name_4</vt:lpstr>
      <vt:lpstr>Informal_Name_5</vt:lpstr>
      <vt:lpstr>Informal_Nov_SubTotal</vt:lpstr>
      <vt:lpstr>Informal_Oct_SubTotal</vt:lpstr>
      <vt:lpstr>Informal_Payment_Terms</vt:lpstr>
      <vt:lpstr>Informal_PaymentTerm_1</vt:lpstr>
      <vt:lpstr>Informal_PaymentTerm_2</vt:lpstr>
      <vt:lpstr>Informal_PaymentTerm_3</vt:lpstr>
      <vt:lpstr>Informal_PaymentTerm_4</vt:lpstr>
      <vt:lpstr>Informal_PaymentTerm_5</vt:lpstr>
      <vt:lpstr>Informal_perc_To_Goal_1</vt:lpstr>
      <vt:lpstr>Informal_perc_To_Goal_2</vt:lpstr>
      <vt:lpstr>Informal_perc_To_Goal_3</vt:lpstr>
      <vt:lpstr>Informal_perc_To_Goal_4</vt:lpstr>
      <vt:lpstr>Informal_perc_To_Goal_5</vt:lpstr>
      <vt:lpstr>Informal_Sep_SubTotal</vt:lpstr>
      <vt:lpstr>Informal_SubTotals</vt:lpstr>
      <vt:lpstr>Informal_TAP</vt:lpstr>
      <vt:lpstr>Informal_TAP_1</vt:lpstr>
      <vt:lpstr>Informal_TAP_2</vt:lpstr>
      <vt:lpstr>Informal_TAP_3</vt:lpstr>
      <vt:lpstr>Informal_TAP_4</vt:lpstr>
      <vt:lpstr>Informal_TAP_5</vt:lpstr>
      <vt:lpstr>Informal_TATBP_1</vt:lpstr>
      <vt:lpstr>Informal_TATBP_2</vt:lpstr>
      <vt:lpstr>Informal_TATBP_3</vt:lpstr>
      <vt:lpstr>Informal_TATBP_4</vt:lpstr>
      <vt:lpstr>Informal_TATBP_5</vt:lpstr>
      <vt:lpstr>Informal_TCC</vt:lpstr>
      <vt:lpstr>Informal_TCC_1</vt:lpstr>
      <vt:lpstr>Informal_TCC_2</vt:lpstr>
      <vt:lpstr>Informal_TCC_3</vt:lpstr>
      <vt:lpstr>Informal_TCC_4</vt:lpstr>
      <vt:lpstr>Informal_TCC_5</vt:lpstr>
      <vt:lpstr>Informal_Total_perc_To_Goal</vt:lpstr>
      <vt:lpstr>Informal_TotalAmount_To_be_paid</vt:lpstr>
      <vt:lpstr>Initial_amount_Owed_Formal</vt:lpstr>
      <vt:lpstr>Initial_amount_Owed_Friends_family</vt:lpstr>
      <vt:lpstr>Initial_amount_Owed_Informal</vt:lpstr>
      <vt:lpstr>Investments_Total_Savings_To_Be_Made</vt:lpstr>
      <vt:lpstr>monthlyExpense_Apr1_Name</vt:lpstr>
      <vt:lpstr>monthlyExpense_Apr10_Name</vt:lpstr>
      <vt:lpstr>monthlyExpense_Apr11_Name</vt:lpstr>
      <vt:lpstr>monthlyExpense_Apr2_Name</vt:lpstr>
      <vt:lpstr>monthlyExpense_Apr3_Name</vt:lpstr>
      <vt:lpstr>monthlyExpense_Apr4_Name</vt:lpstr>
      <vt:lpstr>monthlyExpense_Apr5_Name</vt:lpstr>
      <vt:lpstr>monthlyExpense_Apr6_Name</vt:lpstr>
      <vt:lpstr>monthlyExpense_Apr7_Name</vt:lpstr>
      <vt:lpstr>monthlyExpense_Apr8_Name</vt:lpstr>
      <vt:lpstr>monthlyExpense_Apr9_Name</vt:lpstr>
      <vt:lpstr>monthlyExpense_Aug1_Name</vt:lpstr>
      <vt:lpstr>monthlyExpense_Aug10_Name</vt:lpstr>
      <vt:lpstr>monthlyExpense_Aug11_Name</vt:lpstr>
      <vt:lpstr>monthlyExpense_Aug2_Name</vt:lpstr>
      <vt:lpstr>monthlyExpense_Aug3_Name</vt:lpstr>
      <vt:lpstr>monthlyExpense_Aug4_Name</vt:lpstr>
      <vt:lpstr>monthlyExpense_Aug5_Name</vt:lpstr>
      <vt:lpstr>monthlyExpense_Aug6_Name</vt:lpstr>
      <vt:lpstr>monthlyExpense_Aug7_Name</vt:lpstr>
      <vt:lpstr>monthlyExpense_Aug8_Name</vt:lpstr>
      <vt:lpstr>monthlyExpense_Aug9_Name</vt:lpstr>
      <vt:lpstr>monthlyExpense_Dec1_Name</vt:lpstr>
      <vt:lpstr>monthlyExpense_Dec10_Name</vt:lpstr>
      <vt:lpstr>monthlyExpense_Dec11_Name</vt:lpstr>
      <vt:lpstr>monthlyExpense_Dec2_Name</vt:lpstr>
      <vt:lpstr>monthlyExpense_Dec3_Name</vt:lpstr>
      <vt:lpstr>monthlyExpense_Dec4_Name</vt:lpstr>
      <vt:lpstr>monthlyExpense_Dec5_Name</vt:lpstr>
      <vt:lpstr>monthlyExpense_Dec6_Name</vt:lpstr>
      <vt:lpstr>monthlyExpense_Dec7_Name</vt:lpstr>
      <vt:lpstr>monthlyExpense_Dec8_Name</vt:lpstr>
      <vt:lpstr>monthlyExpense_Dec9_Name</vt:lpstr>
      <vt:lpstr>monthlyExpense_Feb1_Name</vt:lpstr>
      <vt:lpstr>Feb!monthlyExpense_Feb10_Name</vt:lpstr>
      <vt:lpstr>Feb!monthlyExpense_Feb11_Name</vt:lpstr>
      <vt:lpstr>monthlyExpense_Feb2_Name</vt:lpstr>
      <vt:lpstr>monthlyExpense_Feb3_Name</vt:lpstr>
      <vt:lpstr>monthlyExpense_Feb4_Name</vt:lpstr>
      <vt:lpstr>monthlyExpense_Feb5_Name</vt:lpstr>
      <vt:lpstr>monthlyExpense_Feb6_Name</vt:lpstr>
      <vt:lpstr>Feb!monthlyExpense_Feb7_Name</vt:lpstr>
      <vt:lpstr>Feb!monthlyExpense_Feb8_Name</vt:lpstr>
      <vt:lpstr>monthlyExpense_Feb9_Name</vt:lpstr>
      <vt:lpstr>'Apr '!monthlyExpense_Jan1_Name</vt:lpstr>
      <vt:lpstr>Aug!monthlyExpense_Jan1_Name</vt:lpstr>
      <vt:lpstr>Dec!monthlyExpense_Jan1_Name</vt:lpstr>
      <vt:lpstr>Feb!monthlyExpense_Jan1_Name</vt:lpstr>
      <vt:lpstr>monthlyExpense_Jan1_Name</vt:lpstr>
      <vt:lpstr>'Apr '!monthlyExpense_Jan10_Name</vt:lpstr>
      <vt:lpstr>Aug!monthlyExpense_Jan10_Name</vt:lpstr>
      <vt:lpstr>Dec!monthlyExpense_Jan10_Name</vt:lpstr>
      <vt:lpstr>Feb!monthlyExpense_Jan10_Name</vt:lpstr>
      <vt:lpstr>monthlyExpense_Jan10_Name</vt:lpstr>
      <vt:lpstr>'Apr '!monthlyExpense_Jan11_Name</vt:lpstr>
      <vt:lpstr>Aug!monthlyExpense_Jan11_Name</vt:lpstr>
      <vt:lpstr>Dec!monthlyExpense_Jan11_Name</vt:lpstr>
      <vt:lpstr>Feb!monthlyExpense_Jan11_Name</vt:lpstr>
      <vt:lpstr>monthlyExpense_Jan11_Name</vt:lpstr>
      <vt:lpstr>'Apr '!monthlyExpense_Jan2_Name</vt:lpstr>
      <vt:lpstr>Aug!monthlyExpense_Jan2_Name</vt:lpstr>
      <vt:lpstr>Dec!monthlyExpense_Jan2_Name</vt:lpstr>
      <vt:lpstr>Feb!monthlyExpense_Jan2_Name</vt:lpstr>
      <vt:lpstr>monthlyExpense_Jan2_Name</vt:lpstr>
      <vt:lpstr>'Apr '!monthlyExpense_Jan3_Name</vt:lpstr>
      <vt:lpstr>Aug!monthlyExpense_Jan3_Name</vt:lpstr>
      <vt:lpstr>Dec!monthlyExpense_Jan3_Name</vt:lpstr>
      <vt:lpstr>Feb!monthlyExpense_Jan3_Name</vt:lpstr>
      <vt:lpstr>monthlyExpense_Jan3_Name</vt:lpstr>
      <vt:lpstr>'Apr '!monthlyExpense_Jan4_Name</vt:lpstr>
      <vt:lpstr>Aug!monthlyExpense_Jan4_Name</vt:lpstr>
      <vt:lpstr>Dec!monthlyExpense_Jan4_Name</vt:lpstr>
      <vt:lpstr>Feb!monthlyExpense_Jan4_Name</vt:lpstr>
      <vt:lpstr>monthlyExpense_Jan4_Name</vt:lpstr>
      <vt:lpstr>'Apr '!monthlyExpense_Jan5_Name</vt:lpstr>
      <vt:lpstr>Aug!monthlyExpense_Jan5_Name</vt:lpstr>
      <vt:lpstr>Dec!monthlyExpense_Jan5_Name</vt:lpstr>
      <vt:lpstr>Feb!monthlyExpense_Jan5_Name</vt:lpstr>
      <vt:lpstr>monthlyExpense_Jan5_Name</vt:lpstr>
      <vt:lpstr>'Apr '!monthlyExpense_Jan6_Name</vt:lpstr>
      <vt:lpstr>Aug!monthlyExpense_Jan6_Name</vt:lpstr>
      <vt:lpstr>Dec!monthlyExpense_Jan6_Name</vt:lpstr>
      <vt:lpstr>Feb!monthlyExpense_Jan6_Name</vt:lpstr>
      <vt:lpstr>monthlyExpense_Jan6_Name</vt:lpstr>
      <vt:lpstr>'Apr '!monthlyExpense_Jan7_Name</vt:lpstr>
      <vt:lpstr>Aug!monthlyExpense_Jan7_Name</vt:lpstr>
      <vt:lpstr>Dec!monthlyExpense_Jan7_Name</vt:lpstr>
      <vt:lpstr>Feb!monthlyExpense_Jan7_Name</vt:lpstr>
      <vt:lpstr>monthlyExpense_Jan7_Name</vt:lpstr>
      <vt:lpstr>'Apr '!monthlyExpense_Jan8_Name</vt:lpstr>
      <vt:lpstr>Aug!monthlyExpense_Jan8_Name</vt:lpstr>
      <vt:lpstr>Dec!monthlyExpense_Jan8_Name</vt:lpstr>
      <vt:lpstr>Feb!monthlyExpense_Jan8_Name</vt:lpstr>
      <vt:lpstr>monthlyExpense_Jan8_Name</vt:lpstr>
      <vt:lpstr>'Apr '!monthlyExpense_Jan9_Name</vt:lpstr>
      <vt:lpstr>Aug!monthlyExpense_Jan9_Name</vt:lpstr>
      <vt:lpstr>Dec!monthlyExpense_Jan9_Name</vt:lpstr>
      <vt:lpstr>Feb!monthlyExpense_Jan9_Name</vt:lpstr>
      <vt:lpstr>monthlyExpense_Jan9_Name</vt:lpstr>
      <vt:lpstr>monthlyExpense_Jul1_Name</vt:lpstr>
      <vt:lpstr>monthlyExpense_Jul10_Name</vt:lpstr>
      <vt:lpstr>monthlyExpense_Jul11_Name</vt:lpstr>
      <vt:lpstr>monthlyExpense_Jul2_Name</vt:lpstr>
      <vt:lpstr>monthlyExpense_Jul3_Name</vt:lpstr>
      <vt:lpstr>monthlyExpense_Jul4_Name</vt:lpstr>
      <vt:lpstr>monthlyExpense_Jul5_Name</vt:lpstr>
      <vt:lpstr>monthlyExpense_Jul6_Name</vt:lpstr>
      <vt:lpstr>monthlyExpense_Jul7_Name</vt:lpstr>
      <vt:lpstr>monthlyExpense_Jul8_Name</vt:lpstr>
      <vt:lpstr>monthlyExpense_Jul9_Name</vt:lpstr>
      <vt:lpstr>monthlyExpense_Jun1_Name</vt:lpstr>
      <vt:lpstr>monthlyExpense_Jun10_Name</vt:lpstr>
      <vt:lpstr>monthlyExpense_Jun11_Name</vt:lpstr>
      <vt:lpstr>monthlyExpense_Jun2_Name</vt:lpstr>
      <vt:lpstr>monthlyExpense_Jun3_Name</vt:lpstr>
      <vt:lpstr>monthlyExpense_Jun4_Name</vt:lpstr>
      <vt:lpstr>monthlyExpense_Jun5_Name</vt:lpstr>
      <vt:lpstr>monthlyExpense_Jun6_Name</vt:lpstr>
      <vt:lpstr>monthlyExpense_Jun7_Name</vt:lpstr>
      <vt:lpstr>monthlyExpense_Jun8_Name</vt:lpstr>
      <vt:lpstr>monthlyExpense_Jun9_Name</vt:lpstr>
      <vt:lpstr>monthlyExpense_Mar1_Name</vt:lpstr>
      <vt:lpstr>monthlyExpense_Mar10_Name</vt:lpstr>
      <vt:lpstr>monthlyExpense_Mar11_Name</vt:lpstr>
      <vt:lpstr>monthlyExpense_Mar2_Name</vt:lpstr>
      <vt:lpstr>monthlyExpense_Mar3_Name</vt:lpstr>
      <vt:lpstr>monthlyExpense_Mar4_Name</vt:lpstr>
      <vt:lpstr>monthlyExpense_Mar5_Name</vt:lpstr>
      <vt:lpstr>monthlyExpense_Mar6_Name</vt:lpstr>
      <vt:lpstr>monthlyExpense_Mar7_Name</vt:lpstr>
      <vt:lpstr>monthlyExpense_Mar8_Name</vt:lpstr>
      <vt:lpstr>monthlyExpense_Mar9_Name</vt:lpstr>
      <vt:lpstr>monthlyExpense_May1_Name</vt:lpstr>
      <vt:lpstr>monthlyExpense_May10_Name</vt:lpstr>
      <vt:lpstr>monthlyExpense_May11_Name</vt:lpstr>
      <vt:lpstr>monthlyExpense_May2_Name</vt:lpstr>
      <vt:lpstr>monthlyExpense_May3_Name</vt:lpstr>
      <vt:lpstr>monthlyExpense_May4_Name</vt:lpstr>
      <vt:lpstr>monthlyExpense_May5_Name</vt:lpstr>
      <vt:lpstr>monthlyExpense_May6_Name</vt:lpstr>
      <vt:lpstr>monthlyExpense_May7_Name</vt:lpstr>
      <vt:lpstr>monthlyExpense_May8_Name</vt:lpstr>
      <vt:lpstr>monthlyExpense_May9_Name</vt:lpstr>
      <vt:lpstr>monthlyExpense_Nov1_Name</vt:lpstr>
      <vt:lpstr>monthlyExpense_Nov10_Name</vt:lpstr>
      <vt:lpstr>monthlyExpense_Nov11_Name</vt:lpstr>
      <vt:lpstr>monthlyExpense_Nov2_Name</vt:lpstr>
      <vt:lpstr>monthlyExpense_Nov3_Name</vt:lpstr>
      <vt:lpstr>monthlyExpense_Nov4_Name</vt:lpstr>
      <vt:lpstr>monthlyExpense_Nov5_Name</vt:lpstr>
      <vt:lpstr>monthlyExpense_Nov6_Name</vt:lpstr>
      <vt:lpstr>monthlyExpense_Nov7_Name</vt:lpstr>
      <vt:lpstr>monthlyExpense_Nov8_Name</vt:lpstr>
      <vt:lpstr>monthlyExpense_Nov9_Name</vt:lpstr>
      <vt:lpstr>monthlyExpense_Oct1_Name</vt:lpstr>
      <vt:lpstr>monthlyExpense_Oct10_Name</vt:lpstr>
      <vt:lpstr>monthlyExpense_Oct11_Name</vt:lpstr>
      <vt:lpstr>monthlyExpense_Oct2_Name</vt:lpstr>
      <vt:lpstr>monthlyExpense_Oct3_Name</vt:lpstr>
      <vt:lpstr>monthlyExpense_Oct4_Name</vt:lpstr>
      <vt:lpstr>monthlyExpense_Oct5_Name</vt:lpstr>
      <vt:lpstr>monthlyExpense_Oct6_Name</vt:lpstr>
      <vt:lpstr>monthlyExpense_Oct7_Name</vt:lpstr>
      <vt:lpstr>monthlyExpense_Oct8_Name</vt:lpstr>
      <vt:lpstr>monthlyExpense_Oct9_Name</vt:lpstr>
      <vt:lpstr>monthlyExpense_Sep1_Name</vt:lpstr>
      <vt:lpstr>monthlyExpense_Sep10_Name</vt:lpstr>
      <vt:lpstr>monthlyExpense_Sep11_Name</vt:lpstr>
      <vt:lpstr>monthlyExpense_Sep2_Name</vt:lpstr>
      <vt:lpstr>monthlyExpense_Sep3_Name</vt:lpstr>
      <vt:lpstr>monthlyExpense_Sep4_Name</vt:lpstr>
      <vt:lpstr>monthlyExpense_Sep5_Name</vt:lpstr>
      <vt:lpstr>monthlyExpense_Sep6_Name</vt:lpstr>
      <vt:lpstr>monthlyExpense_Sep7_Name</vt:lpstr>
      <vt:lpstr>monthlyExpense_Sep8_Name</vt:lpstr>
      <vt:lpstr>monthlyExpense_Sep9_Name</vt:lpstr>
      <vt:lpstr>monthlyExpense_YEARLY1_Name</vt:lpstr>
      <vt:lpstr>monthlyExpense_YEARLY10_Name</vt:lpstr>
      <vt:lpstr>monthlyExpense_YEARLY11_Name</vt:lpstr>
      <vt:lpstr>monthlyExpense_YEARLY2_Name</vt:lpstr>
      <vt:lpstr>monthlyExpense_YEARLY3_Name</vt:lpstr>
      <vt:lpstr>monthlyExpense_YEARLY4_Name</vt:lpstr>
      <vt:lpstr>monthlyExpense_YEARLY5_Name</vt:lpstr>
      <vt:lpstr>monthlyExpense_YEARLY6_Name</vt:lpstr>
      <vt:lpstr>monthlyExpense_YEARLY7_Name</vt:lpstr>
      <vt:lpstr>monthlyExpense_YEARLY8_Name</vt:lpstr>
      <vt:lpstr>monthlyExpense_YEARLY9_Name</vt:lpstr>
      <vt:lpstr>MonthlyIncome_Apr_Name</vt:lpstr>
      <vt:lpstr>MonthlyIncome_Apr_Name2</vt:lpstr>
      <vt:lpstr>MonthlyIncome_Apr_Name3</vt:lpstr>
      <vt:lpstr>MonthlyIncome_Apr_Name4</vt:lpstr>
      <vt:lpstr>MonthlyIncome_Apr_Name5</vt:lpstr>
      <vt:lpstr>MonthlyIncome_Apr_Name6</vt:lpstr>
      <vt:lpstr>MonthlyIncome_Apr_Name7</vt:lpstr>
      <vt:lpstr>MonthlyIncome_Apr_Name8</vt:lpstr>
      <vt:lpstr>MonthlyIncome_Aug_Name</vt:lpstr>
      <vt:lpstr>MonthlyIncome_Aug_Name2</vt:lpstr>
      <vt:lpstr>MonthlyIncome_Aug_Name3</vt:lpstr>
      <vt:lpstr>MonthlyIncome_Aug_Name4</vt:lpstr>
      <vt:lpstr>MonthlyIncome_Aug_Name5</vt:lpstr>
      <vt:lpstr>MonthlyIncome_Aug_Name6</vt:lpstr>
      <vt:lpstr>MonthlyIncome_Aug_Name7</vt:lpstr>
      <vt:lpstr>MonthlyIncome_Aug_Name8</vt:lpstr>
      <vt:lpstr>MonthlyIncome_Dec_Name1</vt:lpstr>
      <vt:lpstr>MonthlyIncome_Dec_Name2</vt:lpstr>
      <vt:lpstr>MonthlyIncome_Dec_Name3</vt:lpstr>
      <vt:lpstr>MonthlyIncome_Dec_Name4</vt:lpstr>
      <vt:lpstr>MonthlyIncome_Dec_Name5</vt:lpstr>
      <vt:lpstr>MonthlyIncome_Dec_Name6</vt:lpstr>
      <vt:lpstr>MonthlyIncome_Dec_Name7</vt:lpstr>
      <vt:lpstr>MonthlyIncome_Dec_Name8</vt:lpstr>
      <vt:lpstr>MonthlyIncome_Feb1_Name</vt:lpstr>
      <vt:lpstr>MonthlyIncome_Feb2_Name</vt:lpstr>
      <vt:lpstr>MonthlyIncome_Feb3_Name</vt:lpstr>
      <vt:lpstr>MonthlyIncome_Feb4_Name</vt:lpstr>
      <vt:lpstr>MonthlyIncome_Feb5_Name</vt:lpstr>
      <vt:lpstr>MonthlyIncome_Feb6_Name</vt:lpstr>
      <vt:lpstr>MonthlyIncome_Feb7_Name</vt:lpstr>
      <vt:lpstr>MonthlyIncome_Feb8_Name</vt:lpstr>
      <vt:lpstr>MonthlyIncome_Jan1_Name</vt:lpstr>
      <vt:lpstr>MonthlyIncome_Jan2_Name</vt:lpstr>
      <vt:lpstr>MonthlyIncome_Jan3_Name</vt:lpstr>
      <vt:lpstr>MonthlyIncome_Jan4_Name</vt:lpstr>
      <vt:lpstr>MonthlyIncome_Jan5_Name</vt:lpstr>
      <vt:lpstr>MonthlyIncome_Jan6_Name</vt:lpstr>
      <vt:lpstr>MonthlyIncome_Jan7_Name</vt:lpstr>
      <vt:lpstr>MonthlyIncome_Jan8_Name</vt:lpstr>
      <vt:lpstr>MonthlyIncome_Jul_Name</vt:lpstr>
      <vt:lpstr>MonthlyIncome_Jul_Name2</vt:lpstr>
      <vt:lpstr>MonthlyIncome_Jul_Name3</vt:lpstr>
      <vt:lpstr>MonthlyIncome_Jul_Name4</vt:lpstr>
      <vt:lpstr>MonthlyIncome_Jul_Name5</vt:lpstr>
      <vt:lpstr>MonthlyIncome_Jul_Name6</vt:lpstr>
      <vt:lpstr>MonthlyIncome_Jul_Name7</vt:lpstr>
      <vt:lpstr>MonthlyIncome_Jul_Name8</vt:lpstr>
      <vt:lpstr>MonthlyIncome_Jun_Name</vt:lpstr>
      <vt:lpstr>MonthlyIncome_Jun_Name2</vt:lpstr>
      <vt:lpstr>MonthlyIncome_Jun_Name3</vt:lpstr>
      <vt:lpstr>MonthlyIncome_Jun_Name4</vt:lpstr>
      <vt:lpstr>MonthlyIncome_Jun_Name5</vt:lpstr>
      <vt:lpstr>MonthlyIncome_Jun_Name6</vt:lpstr>
      <vt:lpstr>MonthlyIncome_Jun_Name7</vt:lpstr>
      <vt:lpstr>MonthlyIncome_Jun_Name8</vt:lpstr>
      <vt:lpstr>MonthlyIncome_Mar_Name</vt:lpstr>
      <vt:lpstr>MonthlyIncome_Mar_Name2</vt:lpstr>
      <vt:lpstr>MonthlyIncome_Mar_Name3</vt:lpstr>
      <vt:lpstr>MonthlyIncome_Mar_Name4</vt:lpstr>
      <vt:lpstr>MonthlyIncome_Mar_Name5</vt:lpstr>
      <vt:lpstr>MonthlyIncome_Mar_Name6</vt:lpstr>
      <vt:lpstr>MonthlyIncome_Mar_Name7</vt:lpstr>
      <vt:lpstr>MonthlyIncome_Mar_Name8</vt:lpstr>
      <vt:lpstr>MonthlyIncome_May_Name</vt:lpstr>
      <vt:lpstr>MonthlyIncome_May_Name2</vt:lpstr>
      <vt:lpstr>MonthlyIncome_May_Name3</vt:lpstr>
      <vt:lpstr>MonthlyIncome_May_Name4</vt:lpstr>
      <vt:lpstr>MonthlyIncome_May_Name5</vt:lpstr>
      <vt:lpstr>MonthlyIncome_May_Name6</vt:lpstr>
      <vt:lpstr>MonthlyIncome_May_Name7</vt:lpstr>
      <vt:lpstr>MonthlyIncome_May_Name8</vt:lpstr>
      <vt:lpstr>MonthlyIncome_Nov_Name1</vt:lpstr>
      <vt:lpstr>MonthlyIncome_Nov_Name2</vt:lpstr>
      <vt:lpstr>MonthlyIncome_Nov_Name3</vt:lpstr>
      <vt:lpstr>MonthlyIncome_Nov_Name4</vt:lpstr>
      <vt:lpstr>MonthlyIncome_Nov_Name5</vt:lpstr>
      <vt:lpstr>MonthlyIncome_Nov_Name6</vt:lpstr>
      <vt:lpstr>MonthlyIncome_Nov_Name7</vt:lpstr>
      <vt:lpstr>MonthlyIncome_Nov_Name8</vt:lpstr>
      <vt:lpstr>MonthlyIncome_Oct_Name1</vt:lpstr>
      <vt:lpstr>MonthlyIncome_Oct_Name2</vt:lpstr>
      <vt:lpstr>MonthlyIncome_Oct_Name3</vt:lpstr>
      <vt:lpstr>MonthlyIncome_Oct_Name4</vt:lpstr>
      <vt:lpstr>MonthlyIncome_Oct_Name5</vt:lpstr>
      <vt:lpstr>MonthlyIncome_Oct_Name6</vt:lpstr>
      <vt:lpstr>MonthlyIncome_Oct_Name7</vt:lpstr>
      <vt:lpstr>MonthlyIncome_Oct_Name8</vt:lpstr>
      <vt:lpstr>MonthlyIncome_Sep_Name</vt:lpstr>
      <vt:lpstr>MonthlyIncome_Sep_Name2</vt:lpstr>
      <vt:lpstr>MonthlyIncome_Sep_Name3</vt:lpstr>
      <vt:lpstr>MonthlyIncome_Sep_Name4</vt:lpstr>
      <vt:lpstr>MonthlyIncome_Sep_Name5</vt:lpstr>
      <vt:lpstr>MonthlyIncome_Sep_Name6</vt:lpstr>
      <vt:lpstr>MonthlyIncome_Sep_Name7</vt:lpstr>
      <vt:lpstr>MonthlyIncome_Sep_Name8</vt:lpstr>
      <vt:lpstr>MonthlyIncome_Yearly_Name1</vt:lpstr>
      <vt:lpstr>MonthlyIncome_Yearly_Name2</vt:lpstr>
      <vt:lpstr>MonthlyIncome_Yearly_Name3</vt:lpstr>
      <vt:lpstr>MonthlyIncome_Yearly_Name4</vt:lpstr>
      <vt:lpstr>MonthlyIncome_Yearly_Name5</vt:lpstr>
      <vt:lpstr>MonthlyIncome_Yearly_Name6</vt:lpstr>
      <vt:lpstr>MonthlyIncome_Yearly_Name7</vt:lpstr>
      <vt:lpstr>MonthlyIncome_Yearly_Name8</vt:lpstr>
      <vt:lpstr>Names_Family_and_Friends</vt:lpstr>
      <vt:lpstr>Names_Formal_and_Retail</vt:lpstr>
      <vt:lpstr>Names_Informal_and_Retail</vt:lpstr>
      <vt:lpstr>Over_under_expenses_Apr</vt:lpstr>
      <vt:lpstr>Over_under_expenses_Aug</vt:lpstr>
      <vt:lpstr>Over_under_expenses_Dec</vt:lpstr>
      <vt:lpstr>Over_under_expenses_Feb</vt:lpstr>
      <vt:lpstr>'Apr '!Over_under_expenses_Jan</vt:lpstr>
      <vt:lpstr>Aug!Over_under_expenses_Jan</vt:lpstr>
      <vt:lpstr>Dec!Over_under_expenses_Jan</vt:lpstr>
      <vt:lpstr>Feb!Over_under_expenses_Jan</vt:lpstr>
      <vt:lpstr>Over_under_expenses_Jan</vt:lpstr>
      <vt:lpstr>Over_under_expenses_Jul</vt:lpstr>
      <vt:lpstr>Over_under_expenses_Jun</vt:lpstr>
      <vt:lpstr>Over_under_expenses_Mar</vt:lpstr>
      <vt:lpstr>Over_under_expenses_May</vt:lpstr>
      <vt:lpstr>Over_under_expenses_Nov</vt:lpstr>
      <vt:lpstr>Over_under_expenses_Oct</vt:lpstr>
      <vt:lpstr>Over_under_expenses_Sep</vt:lpstr>
      <vt:lpstr>Over_under_expenses_YEARLY</vt:lpstr>
      <vt:lpstr>Over_under_Goals_Annual</vt:lpstr>
      <vt:lpstr>Over_under_Goals_Apr</vt:lpstr>
      <vt:lpstr>Over_under_Goals_Aug</vt:lpstr>
      <vt:lpstr>Over_under_Goals_Dec</vt:lpstr>
      <vt:lpstr>Over_under_Goals_Feb</vt:lpstr>
      <vt:lpstr>'Apr '!Over_under_Goals_Jan</vt:lpstr>
      <vt:lpstr>Aug!Over_under_Goals_Jan</vt:lpstr>
      <vt:lpstr>Dec!Over_under_Goals_Jan</vt:lpstr>
      <vt:lpstr>Feb!Over_under_Goals_Jan</vt:lpstr>
      <vt:lpstr>Over_under_Goals_Jan</vt:lpstr>
      <vt:lpstr>Over_under_Goals_Jul</vt:lpstr>
      <vt:lpstr>Over_under_Goals_Jun</vt:lpstr>
      <vt:lpstr>Over_under_Goals_Mar</vt:lpstr>
      <vt:lpstr>Over_under_Goals_May</vt:lpstr>
      <vt:lpstr>Over_under_Goals_Nov</vt:lpstr>
      <vt:lpstr>Over_under_Goals_Oct</vt:lpstr>
      <vt:lpstr>Over_under_Goals_Sep</vt:lpstr>
      <vt:lpstr>Over_under_income_Apr</vt:lpstr>
      <vt:lpstr>Over_under_income_Aug</vt:lpstr>
      <vt:lpstr>Over_under_income_Dec</vt:lpstr>
      <vt:lpstr>Over_under_income_Feb</vt:lpstr>
      <vt:lpstr>'Apr '!Over_under_income_Jan</vt:lpstr>
      <vt:lpstr>Aug!Over_under_income_Jan</vt:lpstr>
      <vt:lpstr>Dec!Over_under_income_Jan</vt:lpstr>
      <vt:lpstr>Feb!Over_under_income_Jan</vt:lpstr>
      <vt:lpstr>Over_under_income_Jan</vt:lpstr>
      <vt:lpstr>Over_under_income_Jul</vt:lpstr>
      <vt:lpstr>Over_under_income_Jun</vt:lpstr>
      <vt:lpstr>Over_under_income_Mar</vt:lpstr>
      <vt:lpstr>Over_under_income_May</vt:lpstr>
      <vt:lpstr>Over_under_income_Nov</vt:lpstr>
      <vt:lpstr>Over_under_income_Oct</vt:lpstr>
      <vt:lpstr>Over_under_income_Sep</vt:lpstr>
      <vt:lpstr>Over_under_income_YEARLY</vt:lpstr>
      <vt:lpstr>Over_Under_Savings_Apr</vt:lpstr>
      <vt:lpstr>Over_Under_Savings_Aug</vt:lpstr>
      <vt:lpstr>Over_Under_Savings_Dec</vt:lpstr>
      <vt:lpstr>Over_Under_Savings_Feb</vt:lpstr>
      <vt:lpstr>'Apr '!Over_Under_Savings_jan</vt:lpstr>
      <vt:lpstr>Aug!Over_Under_Savings_jan</vt:lpstr>
      <vt:lpstr>Dec!Over_Under_Savings_jan</vt:lpstr>
      <vt:lpstr>Feb!Over_Under_Savings_jan</vt:lpstr>
      <vt:lpstr>Over_Under_Savings_jan</vt:lpstr>
      <vt:lpstr>Over_Under_Savings_Jul</vt:lpstr>
      <vt:lpstr>Over_Under_Savings_Jun</vt:lpstr>
      <vt:lpstr>Over_Under_Savings_Mar</vt:lpstr>
      <vt:lpstr>Over_Under_Savings_May</vt:lpstr>
      <vt:lpstr>Over_Under_Savings_Nov</vt:lpstr>
      <vt:lpstr>Over_Under_Savings_Oct</vt:lpstr>
      <vt:lpstr>Over_Under_Savings_Sep</vt:lpstr>
      <vt:lpstr>Over_Under_Savings_YEARLY</vt:lpstr>
      <vt:lpstr>percentage_to_goal_formal</vt:lpstr>
      <vt:lpstr>percentage_to_goal_Friends_family</vt:lpstr>
      <vt:lpstr>percentage_to_goal_Informal</vt:lpstr>
      <vt:lpstr>PercIncome_Used_for_Jan</vt:lpstr>
      <vt:lpstr>Remaining_Amount</vt:lpstr>
      <vt:lpstr>Remaining_income_Feb</vt:lpstr>
      <vt:lpstr>SavingInvestment_toPercentage</vt:lpstr>
      <vt:lpstr>SavingInvestments_MinSavings</vt:lpstr>
      <vt:lpstr>Savings_1_Monthly_Savings</vt:lpstr>
      <vt:lpstr>Savings_2_Monthly_Savings</vt:lpstr>
      <vt:lpstr>Savings_3_Monthly_Savings</vt:lpstr>
      <vt:lpstr>Savings_4_Monthly_Savings</vt:lpstr>
      <vt:lpstr>Savings_Amount_Total</vt:lpstr>
      <vt:lpstr>Savings_Goal_1</vt:lpstr>
      <vt:lpstr>Savings_Goal_2</vt:lpstr>
      <vt:lpstr>Savings_Goal_3</vt:lpstr>
      <vt:lpstr>Savings_Goal_4</vt:lpstr>
      <vt:lpstr>Savings_Goal_AnnualInterest_1</vt:lpstr>
      <vt:lpstr>Savings_Goal_AnnualInterest_2</vt:lpstr>
      <vt:lpstr>Savings_Goal_AnnualInterest_3</vt:lpstr>
      <vt:lpstr>Savings_Goal_AnnualInterest_4</vt:lpstr>
      <vt:lpstr>Savings_Goal_Interest_1</vt:lpstr>
      <vt:lpstr>Savings_Goal_Interest_2</vt:lpstr>
      <vt:lpstr>Savings_Goal_Interest_3</vt:lpstr>
      <vt:lpstr>Savings_Goal_Interest_4</vt:lpstr>
      <vt:lpstr>Savings_Goal_MinSavings_1</vt:lpstr>
      <vt:lpstr>Savings_Goal_MinSavings_2</vt:lpstr>
      <vt:lpstr>Savings_Goal_MinSavings_3</vt:lpstr>
      <vt:lpstr>Savings_Goal_MinSavings_4</vt:lpstr>
      <vt:lpstr>Savings_Goal_MonthlySavings_3Sep_</vt:lpstr>
      <vt:lpstr>Savings_Goal_MonthlySavings_AnnualSa2ving_</vt:lpstr>
      <vt:lpstr>Savings_Goal_MonthlySavings_AnnualSaving_1</vt:lpstr>
      <vt:lpstr>Savings_Goal_MonthlySavings_AnnualSaving_3</vt:lpstr>
      <vt:lpstr>Savings_Goal_MonthlySavings_AnnualSaving_4</vt:lpstr>
      <vt:lpstr>Savings_Goal_MonthlySavings_Aprr_1</vt:lpstr>
      <vt:lpstr>Savings_Goal_MonthlySavings_Aprr_2</vt:lpstr>
      <vt:lpstr>Savings_Goal_MonthlySavings_Aprr_3</vt:lpstr>
      <vt:lpstr>Savings_Goal_MonthlySavings_Aprr_4</vt:lpstr>
      <vt:lpstr>Savings_Goal_MonthlySavings_Aug_1</vt:lpstr>
      <vt:lpstr>Savings_Goal_MonthlySavings_Aug_2</vt:lpstr>
      <vt:lpstr>Savings_Goal_MonthlySavings_Aug_3</vt:lpstr>
      <vt:lpstr>Savings_Goal_MonthlySavings_Aug_4</vt:lpstr>
      <vt:lpstr>Savings_Goal_MonthlySavings_Dec_1</vt:lpstr>
      <vt:lpstr>Savings_Goal_MonthlySavings_Dec_2</vt:lpstr>
      <vt:lpstr>Savings_Goal_MonthlySavings_Dec_3</vt:lpstr>
      <vt:lpstr>Savings_Goal_MonthlySavings_Dec_4</vt:lpstr>
      <vt:lpstr>Savings_Goal_MonthlySavings_Feb_1</vt:lpstr>
      <vt:lpstr>Savings_Goal_MonthlySavings_Feb_2</vt:lpstr>
      <vt:lpstr>Savings_Goal_MonthlySavings_Feb_3</vt:lpstr>
      <vt:lpstr>Savings_Goal_MonthlySavings_Feb_4</vt:lpstr>
      <vt:lpstr>Savings_Goal_MonthlySavings_Jan_1</vt:lpstr>
      <vt:lpstr>Savings_Goal_MonthlySavings_Jan_2</vt:lpstr>
      <vt:lpstr>Savings_Goal_MonthlySavings_Jan_3</vt:lpstr>
      <vt:lpstr>Savings_Goal_MonthlySavings_Jan_4</vt:lpstr>
      <vt:lpstr>Savings_Goal_MonthlySavings_Jul_1</vt:lpstr>
      <vt:lpstr>Savings_Goal_MonthlySavings_Jul_2</vt:lpstr>
      <vt:lpstr>Savings_Goal_MonthlySavings_Jul_3</vt:lpstr>
      <vt:lpstr>Savings_Goal_MonthlySavings_Jul_4</vt:lpstr>
      <vt:lpstr>Savings_Goal_MonthlySavings_Jun_1</vt:lpstr>
      <vt:lpstr>Savings_Goal_MonthlySavings_Jun_2</vt:lpstr>
      <vt:lpstr>Savings_Goal_MonthlySavings_Jun_3</vt:lpstr>
      <vt:lpstr>Savings_Goal_MonthlySavings_Jun_4</vt:lpstr>
      <vt:lpstr>Savings_Goal_MonthlySavings_Mar_1</vt:lpstr>
      <vt:lpstr>Savings_Goal_MonthlySavings_Mar_2</vt:lpstr>
      <vt:lpstr>Savings_Goal_MonthlySavings_Mar_3</vt:lpstr>
      <vt:lpstr>Savings_Goal_MonthlySavings_Mar_4</vt:lpstr>
      <vt:lpstr>Savings_Goal_MonthlySavings_May_1</vt:lpstr>
      <vt:lpstr>Savings_Goal_MonthlySavings_May_2</vt:lpstr>
      <vt:lpstr>Savings_Goal_MonthlySavings_May_3</vt:lpstr>
      <vt:lpstr>Savings_Goal_MonthlySavings_May_4</vt:lpstr>
      <vt:lpstr>Savings_Goal_MonthlySavings_Nov_1</vt:lpstr>
      <vt:lpstr>Savings_Goal_MonthlySavings_Nov_2</vt:lpstr>
      <vt:lpstr>Savings_Goal_MonthlySavings_Nov_3</vt:lpstr>
      <vt:lpstr>Savings_Goal_MonthlySavings_Nov_4</vt:lpstr>
      <vt:lpstr>Savings_Goal_MonthlySavings_Oct_1</vt:lpstr>
      <vt:lpstr>Savings_Goal_MonthlySavings_Oct_2</vt:lpstr>
      <vt:lpstr>Savings_Goal_MonthlySavings_Oct_3</vt:lpstr>
      <vt:lpstr>Savings_Goal_MonthlySavings_Oct_4</vt:lpstr>
      <vt:lpstr>Savings_Goal_MonthlySavings_PercGoal_1</vt:lpstr>
      <vt:lpstr>Savings_Goal_MonthlySavings_PercGoal_2</vt:lpstr>
      <vt:lpstr>Savings_Goal_MonthlySavings_PercGoal_3</vt:lpstr>
      <vt:lpstr>Savings_Goal_MonthlySavings_PercGoal_4</vt:lpstr>
      <vt:lpstr>Savings_Goal_MonthlySavings_Sep_1</vt:lpstr>
      <vt:lpstr>Savings_Goal_MonthlySavings_Sep_2</vt:lpstr>
      <vt:lpstr>Savings_Goal_MonthlySavings_Sep_4</vt:lpstr>
      <vt:lpstr>Savings_Goal_MonthlySavings_Total_Value_Saving__1</vt:lpstr>
      <vt:lpstr>Savings_Goal_MonthlySavings_Total_Value_Saving__2</vt:lpstr>
      <vt:lpstr>Savings_Goal_MonthlySavings_Total_Value_Saving__3</vt:lpstr>
      <vt:lpstr>Savings_Goal_MonthlySavings_Total_Value_Saving__4</vt:lpstr>
      <vt:lpstr>Savings_Goal_MonthlySavings_TotalSaving__made_1</vt:lpstr>
      <vt:lpstr>Savings_Goal_MonthlySavings_TotalSaving__made_2</vt:lpstr>
      <vt:lpstr>Savings_Goal_MonthlySavings_TotalSaving__made_3</vt:lpstr>
      <vt:lpstr>Savings_Goal_MonthlySavings_TotalSaving__made_4</vt:lpstr>
      <vt:lpstr>Savings_Goal_Term_1</vt:lpstr>
      <vt:lpstr>Savings_Goal_Term_2</vt:lpstr>
      <vt:lpstr>Savings_Goal_Term_3</vt:lpstr>
      <vt:lpstr>Savings_Goal_Term_4</vt:lpstr>
      <vt:lpstr>Savings_goal_Total_1</vt:lpstr>
      <vt:lpstr>Savings_goal_Total_2</vt:lpstr>
      <vt:lpstr>Savings_goal_Total_3</vt:lpstr>
      <vt:lpstr>Savings_goal_Total_4</vt:lpstr>
      <vt:lpstr>Savings_Goal_Total_ValueAmount_Saved</vt:lpstr>
      <vt:lpstr>Savings_Goal_TotalAmount_Saved_1</vt:lpstr>
      <vt:lpstr>Savings_Goal_TotalAmount_Saved_2</vt:lpstr>
      <vt:lpstr>Savings_Goal_TotalAmount_Saved_3</vt:lpstr>
      <vt:lpstr>Savings_Goal_TotalAmount_Saved_4</vt:lpstr>
      <vt:lpstr>Savings_GoalAmount_1</vt:lpstr>
      <vt:lpstr>Savings_GoalAmount_2</vt:lpstr>
      <vt:lpstr>Savings_GoalAmount_3</vt:lpstr>
      <vt:lpstr>Savings_GoalAmount_4</vt:lpstr>
      <vt:lpstr>Savings_Goals_Description</vt:lpstr>
      <vt:lpstr>Savings_Goals_TotalAmountSaved</vt:lpstr>
      <vt:lpstr>Savings_Interest</vt:lpstr>
      <vt:lpstr>Savings_Investmensts_MonthlySavings_AnnualSaving_1</vt:lpstr>
      <vt:lpstr>Savings_Investmensts_MonthlySavings_AnnualSaving_2</vt:lpstr>
      <vt:lpstr>Savings_Investmensts_MonthlySavings_AnnualSaving_3</vt:lpstr>
      <vt:lpstr>Savings_Investmensts_MonthlySavings_AnnualSaving_4</vt:lpstr>
      <vt:lpstr>Savings_Investments_1</vt:lpstr>
      <vt:lpstr>Savings_Investments_2</vt:lpstr>
      <vt:lpstr>Savings_Investments_3</vt:lpstr>
      <vt:lpstr>Savings_Investments_4</vt:lpstr>
      <vt:lpstr>Savings_Investments_AnnualInterest_1</vt:lpstr>
      <vt:lpstr>Savings_Investments_AnnualInterest_2</vt:lpstr>
      <vt:lpstr>Savings_Investments_AnnualInterest_3</vt:lpstr>
      <vt:lpstr>Savings_Investments_AnnualInterest_4</vt:lpstr>
      <vt:lpstr>Savings_Investments_Apr</vt:lpstr>
      <vt:lpstr>Savings_Investments_Aug</vt:lpstr>
      <vt:lpstr>Savings_Investments_Dec</vt:lpstr>
      <vt:lpstr>Savings_Investments_Description</vt:lpstr>
      <vt:lpstr>Savings_Investments_Feb</vt:lpstr>
      <vt:lpstr>Savings_Investments_Jan</vt:lpstr>
      <vt:lpstr>Savings_Investments_Jul</vt:lpstr>
      <vt:lpstr>Savings_Investments_Jun</vt:lpstr>
      <vt:lpstr>Savings_Investments_Mar</vt:lpstr>
      <vt:lpstr>Savings_Investments_May</vt:lpstr>
      <vt:lpstr>Savings_Investments_MinSavings_1</vt:lpstr>
      <vt:lpstr>Savings_Investments_MinSavings_2</vt:lpstr>
      <vt:lpstr>Savings_Investments_MinSavings_3</vt:lpstr>
      <vt:lpstr>Savings_Investments_MinSavings_4</vt:lpstr>
      <vt:lpstr>Savings_Investments_MonthlySavings_Apr_1</vt:lpstr>
      <vt:lpstr>Savings_Investments_MonthlySavings_Apr_2</vt:lpstr>
      <vt:lpstr>Savings_Investments_MonthlySavings_Apr_3</vt:lpstr>
      <vt:lpstr>Savings_Investments_MonthlySavings_Apr_4</vt:lpstr>
      <vt:lpstr>Savings_Investments_MonthlySavings_Aug_1</vt:lpstr>
      <vt:lpstr>Savings_Investments_MonthlySavings_Aug_2</vt:lpstr>
      <vt:lpstr>Savings_Investments_MonthlySavings_Aug_3</vt:lpstr>
      <vt:lpstr>Savings_Investments_MonthlySavings_Aug_4</vt:lpstr>
      <vt:lpstr>Savings_Investments_MonthlySavings_Dec_1</vt:lpstr>
      <vt:lpstr>Savings_Investments_MonthlySavings_Dec_2</vt:lpstr>
      <vt:lpstr>Savings_Investments_MonthlySavings_Dec_3</vt:lpstr>
      <vt:lpstr>Savings_Investments_MonthlySavings_Dec_4</vt:lpstr>
      <vt:lpstr>Savings_Investments_MonthlySavings_Feb_1</vt:lpstr>
      <vt:lpstr>Savings_Investments_MonthlySavings_Feb_2</vt:lpstr>
      <vt:lpstr>Savings_Investments_MonthlySavings_Feb_3</vt:lpstr>
      <vt:lpstr>Savings_Investments_MonthlySavings_Feb_4</vt:lpstr>
      <vt:lpstr>Savings_Investments_MonthlySavings_Jan_1</vt:lpstr>
      <vt:lpstr>Savings_Investments_MonthlySavings_Jan_2</vt:lpstr>
      <vt:lpstr>Savings_Investments_MonthlySavings_Jan_3</vt:lpstr>
      <vt:lpstr>Savings_Investments_MonthlySavings_Jan_4</vt:lpstr>
      <vt:lpstr>Savings_Investments_MonthlySavings_Jul_1</vt:lpstr>
      <vt:lpstr>Savings_Investments_MonthlySavings_Jul_2</vt:lpstr>
      <vt:lpstr>Savings_Investments_MonthlySavings_Jul_3</vt:lpstr>
      <vt:lpstr>Savings_Investments_MonthlySavings_Jul_4</vt:lpstr>
      <vt:lpstr>Savings_Investments_MonthlySavings_Jun_1</vt:lpstr>
      <vt:lpstr>Savings_Investments_MonthlySavings_Jun_2</vt:lpstr>
      <vt:lpstr>Savings_Investments_MonthlySavings_Jun_3</vt:lpstr>
      <vt:lpstr>Savings_Investments_MonthlySavings_Jun_4</vt:lpstr>
      <vt:lpstr>Savings_Investments_MonthlySavings_Mar_1</vt:lpstr>
      <vt:lpstr>Savings_Investments_MonthlySavings_Mar_2</vt:lpstr>
      <vt:lpstr>Savings_Investments_MonthlySavings_Mar_3</vt:lpstr>
      <vt:lpstr>Savings_Investments_MonthlySavings_Mar_4</vt:lpstr>
      <vt:lpstr>Savings_Investments_MonthlySavings_May_1</vt:lpstr>
      <vt:lpstr>Savings_Investments_MonthlySavings_May_2</vt:lpstr>
      <vt:lpstr>Savings_Investments_MonthlySavings_May_3</vt:lpstr>
      <vt:lpstr>Savings_Investments_MonthlySavings_May_4</vt:lpstr>
      <vt:lpstr>Savings_Investments_MonthlySavings_Nov_1</vt:lpstr>
      <vt:lpstr>Savings_Investments_MonthlySavings_Nov_2</vt:lpstr>
      <vt:lpstr>Savings_Investments_MonthlySavings_Nov_3</vt:lpstr>
      <vt:lpstr>Savings_Investments_MonthlySavings_Nov_4</vt:lpstr>
      <vt:lpstr>Savings_Investments_MonthlySavings_Oct_1</vt:lpstr>
      <vt:lpstr>Savings_Investments_MonthlySavings_Oct_2</vt:lpstr>
      <vt:lpstr>Savings_Investments_MonthlySavings_Oct_3</vt:lpstr>
      <vt:lpstr>Savings_Investments_MonthlySavings_Oct_4</vt:lpstr>
      <vt:lpstr>Savings_Investments_MonthlySavings_PercGoal_1</vt:lpstr>
      <vt:lpstr>Savings_Investments_MonthlySavings_PercGoal_2</vt:lpstr>
      <vt:lpstr>Savings_Investments_MonthlySavings_PercGoal_3</vt:lpstr>
      <vt:lpstr>Savings_Investments_MonthlySavings_PercGoal_4</vt:lpstr>
      <vt:lpstr>Savings_Investments_MonthlySavings_Sep_1</vt:lpstr>
      <vt:lpstr>Savings_Investments_MonthlySavings_Sep_2</vt:lpstr>
      <vt:lpstr>Savings_Investments_MonthlySavings_Sep_3</vt:lpstr>
      <vt:lpstr>Savings_Investments_MonthlySavings_Sep_4</vt:lpstr>
      <vt:lpstr>Savings_Investments_MonthlySavings_Total_Value_Saving__1</vt:lpstr>
      <vt:lpstr>Savings_Investments_MonthlySavings_Total_Value_Saving__2</vt:lpstr>
      <vt:lpstr>Savings_Investments_MonthlySavings_Total_Value_Saving__3</vt:lpstr>
      <vt:lpstr>Savings_Investments_MonthlySavings_Total_Value_Saving__4</vt:lpstr>
      <vt:lpstr>Savings_Investments_MonthlySavings_TotalSaving__made_1</vt:lpstr>
      <vt:lpstr>Savings_Investments_MonthlySavings_TotalSaving__made_2</vt:lpstr>
      <vt:lpstr>Savings_Investments_MonthlySavings_TotalSaving__made_3</vt:lpstr>
      <vt:lpstr>Savings_Investments_MonthlySavings_TotalSaving__made_4</vt:lpstr>
      <vt:lpstr>Savings_Investments_Nov</vt:lpstr>
      <vt:lpstr>Savings_Investments_Oct</vt:lpstr>
      <vt:lpstr>Savings_Investments_SavingTerm</vt:lpstr>
      <vt:lpstr>Savings_Investments_Sep</vt:lpstr>
      <vt:lpstr>Savings_Investments_Total_ValueAmount_Saved</vt:lpstr>
      <vt:lpstr>Savings_Investments_TotalAmount_Saved_1</vt:lpstr>
      <vt:lpstr>Savings_Investments_TotalAmount_Saved_2</vt:lpstr>
      <vt:lpstr>Savings_Investments_TotalAmount_Saved_3</vt:lpstr>
      <vt:lpstr>Savings_Investments_TotalAmount_Saved_4</vt:lpstr>
      <vt:lpstr>Savings_Investments_TotalAmountSaved</vt:lpstr>
      <vt:lpstr>Savings_Investments_YEARLY</vt:lpstr>
      <vt:lpstr>Savings_InvestmentsAmount_1</vt:lpstr>
      <vt:lpstr>Savings_InvestmentsAmount_2</vt:lpstr>
      <vt:lpstr>Savings_InvestmentsAmount_3</vt:lpstr>
      <vt:lpstr>Savings_InvestmentsAmount_4</vt:lpstr>
      <vt:lpstr>Savings_InvestmentsInterest_1</vt:lpstr>
      <vt:lpstr>Savings_InvestmentsInterest_2</vt:lpstr>
      <vt:lpstr>Savings_InvestmentsInterest_3</vt:lpstr>
      <vt:lpstr>Savings_InvestmentsInterest_4</vt:lpstr>
      <vt:lpstr>Savings_InvestmentsTerm_1</vt:lpstr>
      <vt:lpstr>Savings_InvestmentsTerm_2</vt:lpstr>
      <vt:lpstr>Savings_InvestmentsTerm_3</vt:lpstr>
      <vt:lpstr>Savings_InvestmentsTerm_4</vt:lpstr>
      <vt:lpstr>Savings_Min_Annual</vt:lpstr>
      <vt:lpstr>Savings_TotalValue_MonthlySavings_Total_Value_Saving__2</vt:lpstr>
      <vt:lpstr>SavingsInvestmensts_1_Monthly_Savings</vt:lpstr>
      <vt:lpstr>SavingsInvestmensts_2_Monthly_Savings</vt:lpstr>
      <vt:lpstr>SavingsInvestmensts_3_Monthly_Savings</vt:lpstr>
      <vt:lpstr>SavingsInvestmensts_4_Monthly_Savings</vt:lpstr>
      <vt:lpstr>SavingsInvestment_AnnualInterest</vt:lpstr>
      <vt:lpstr>SavingsInvestment_AnnualSavings</vt:lpstr>
      <vt:lpstr>SavingsInvestment_Total_ValueSavings</vt:lpstr>
      <vt:lpstr>SavingsInvestments_Apr_SubTotal</vt:lpstr>
      <vt:lpstr>SavingsInvestments_Aug_SubTotal</vt:lpstr>
      <vt:lpstr>SavingsInvestments_AugSavings</vt:lpstr>
      <vt:lpstr>SavingsInvestments_Dec_SubTotal</vt:lpstr>
      <vt:lpstr>SavingsInvestments_DecSavings</vt:lpstr>
      <vt:lpstr>SavingsInvestments_Feb_SubTotal</vt:lpstr>
      <vt:lpstr>SavingsInvestments_FebSavings</vt:lpstr>
      <vt:lpstr>SavingsInvestments_GA</vt:lpstr>
      <vt:lpstr>SavingsInvestments_Jan_SubTotal</vt:lpstr>
      <vt:lpstr>SavingsInvestments_JanSavings</vt:lpstr>
      <vt:lpstr>SavingsInvestments_JAprSavings</vt:lpstr>
      <vt:lpstr>SavingsInvestments_Jul_SubTotal</vt:lpstr>
      <vt:lpstr>SavingsInvestments_JulSavings</vt:lpstr>
      <vt:lpstr>SavingsInvestments_Jun_SubTotal</vt:lpstr>
      <vt:lpstr>SavingsInvestments_JunSavings</vt:lpstr>
      <vt:lpstr>SavingsInvestments_Mar_SubTotal</vt:lpstr>
      <vt:lpstr>SavingsInvestments_MarSavings</vt:lpstr>
      <vt:lpstr>SavingsInvestments_May_SubTotal</vt:lpstr>
      <vt:lpstr>SavingsInvestments_MaySavings</vt:lpstr>
      <vt:lpstr>SavingsInvestments_Nov_SubTotal</vt:lpstr>
      <vt:lpstr>SavingsInvestments_NovSavings</vt:lpstr>
      <vt:lpstr>SavingsInvestments_Oct_SubTotal</vt:lpstr>
      <vt:lpstr>SavingsInvestments_OctSavings</vt:lpstr>
      <vt:lpstr>SavingsInvestments_Sep_SubTotal</vt:lpstr>
      <vt:lpstr>SavingsInvestments_SepSavings</vt:lpstr>
      <vt:lpstr>SavingsInvestments_SubTotals</vt:lpstr>
      <vt:lpstr>SavingsInvestments_Total_AnnualSavings</vt:lpstr>
      <vt:lpstr>SavingsInvestments_Total_perc_To_Goal</vt:lpstr>
      <vt:lpstr>SavingsInvestments_TotalValue_MonthlySavings_Total_Value_Saving__2</vt:lpstr>
      <vt:lpstr>Total_Amount_Paid_Formal</vt:lpstr>
      <vt:lpstr>Total_Amount_Paid_Friends_family</vt:lpstr>
      <vt:lpstr>Total_Amount_Paid_Informal</vt:lpstr>
      <vt:lpstr>Total_Amount_to_be_Paid_formal</vt:lpstr>
      <vt:lpstr>Total_Amount_to_be_Paid_Friends_family</vt:lpstr>
      <vt:lpstr>Total_Amount_to_be_Paid_Informal</vt:lpstr>
      <vt:lpstr>Total_Cost_of_Credit_formal</vt:lpstr>
      <vt:lpstr>Total_Cost_of_Credit_Friends_family</vt:lpstr>
      <vt:lpstr>Total_Cost_of_Credit_Informal</vt:lpstr>
      <vt:lpstr>TOTAL_DEDUCTIONS</vt:lpstr>
      <vt:lpstr>TOTAL_DEDUCTIONS_Aug</vt:lpstr>
      <vt:lpstr>TOTAL_DEDUCTIONS_Dec</vt:lpstr>
      <vt:lpstr>TOTAL_DEDUCTIONS_Feb</vt:lpstr>
      <vt:lpstr>TOTAL_DEDUCTIONS_Jul</vt:lpstr>
      <vt:lpstr>TOTAL_DEDUCTIONS_Jun</vt:lpstr>
      <vt:lpstr>TOTAL_DEDUCTIONS_May</vt:lpstr>
      <vt:lpstr>TOTAL_DEDUCTIONS_Nov</vt:lpstr>
      <vt:lpstr>TOTAL_DEDUCTIONS_Oct</vt:lpstr>
      <vt:lpstr>TOTAL_DEDUCTIONS_Sep</vt:lpstr>
      <vt:lpstr>TOTAL_DEDUCTIONS_YEARLY</vt:lpstr>
      <vt:lpstr>Total_Expenses_Apr</vt:lpstr>
      <vt:lpstr>Total_Expenses_Aug</vt:lpstr>
      <vt:lpstr>Total_Expenses_Budgeted_Apr</vt:lpstr>
      <vt:lpstr>Total_Expenses_Budgeted_Aug</vt:lpstr>
      <vt:lpstr>Total_Expenses_Budgeted_Dec</vt:lpstr>
      <vt:lpstr>Total_Expenses_Budgeted_Feb</vt:lpstr>
      <vt:lpstr>Total_Expenses_Budgeted_Jan</vt:lpstr>
      <vt:lpstr>Total_Expenses_Budgeted_Jul</vt:lpstr>
      <vt:lpstr>Total_Expenses_Budgeted_Jun</vt:lpstr>
      <vt:lpstr>Total_Expenses_Budgeted_Mar</vt:lpstr>
      <vt:lpstr>Total_Expenses_Budgeted_May</vt:lpstr>
      <vt:lpstr>Total_Expenses_Budgeted_Nov</vt:lpstr>
      <vt:lpstr>Total_Expenses_Budgeted_Oct</vt:lpstr>
      <vt:lpstr>Total_Expenses_Budgeted_Sep</vt:lpstr>
      <vt:lpstr>Total_Expenses_Dec</vt:lpstr>
      <vt:lpstr>Total_Expenses_Feb</vt:lpstr>
      <vt:lpstr>'Apr '!Total_Expenses_Jan</vt:lpstr>
      <vt:lpstr>Aug!Total_Expenses_Jan</vt:lpstr>
      <vt:lpstr>Dec!Total_Expenses_Jan</vt:lpstr>
      <vt:lpstr>Feb!Total_Expenses_Jan</vt:lpstr>
      <vt:lpstr>Total_Expenses_Jan</vt:lpstr>
      <vt:lpstr>Total_Expenses_Jul</vt:lpstr>
      <vt:lpstr>Total_Expenses_Jun</vt:lpstr>
      <vt:lpstr>Total_Expenses_Mar</vt:lpstr>
      <vt:lpstr>Total_Expenses_May</vt:lpstr>
      <vt:lpstr>Total_Expenses_Nov</vt:lpstr>
      <vt:lpstr>Total_Expenses_Oct</vt:lpstr>
      <vt:lpstr>Total_Expenses_Sep</vt:lpstr>
      <vt:lpstr>Total_Expenses_YEARLY</vt:lpstr>
      <vt:lpstr>Total_Income_Actual_Apr</vt:lpstr>
      <vt:lpstr>Total_Income_Actual_Aug</vt:lpstr>
      <vt:lpstr>Total_Income_Actual_Dec</vt:lpstr>
      <vt:lpstr>Total_Income_Actual_Feb</vt:lpstr>
      <vt:lpstr>'Apr '!Total_Income_Actual_Jan</vt:lpstr>
      <vt:lpstr>Aug!Total_Income_Actual_Jan</vt:lpstr>
      <vt:lpstr>Dec!Total_Income_Actual_Jan</vt:lpstr>
      <vt:lpstr>Feb!Total_Income_Actual_Jan</vt:lpstr>
      <vt:lpstr>Total_Income_Actual_Jan</vt:lpstr>
      <vt:lpstr>Total_Income_Actual_Jul</vt:lpstr>
      <vt:lpstr>Total_Income_Actual_Jun</vt:lpstr>
      <vt:lpstr>Total_Income_Actual_Mar</vt:lpstr>
      <vt:lpstr>Total_Income_Actual_May</vt:lpstr>
      <vt:lpstr>Total_Income_Actual_Nov</vt:lpstr>
      <vt:lpstr>Total_Income_Actual_Oct</vt:lpstr>
      <vt:lpstr>Total_Income_Actual_Sep</vt:lpstr>
      <vt:lpstr>Total_Income_Actual_YEARLY</vt:lpstr>
      <vt:lpstr>Total_Income_Budgeted_Apr</vt:lpstr>
      <vt:lpstr>Total_Income_Budgeted_Aug</vt:lpstr>
      <vt:lpstr>Total_Income_Budgeted_Dec</vt:lpstr>
      <vt:lpstr>Total_Income_Budgeted_Feb</vt:lpstr>
      <vt:lpstr>Total_Income_Budgeted_Jan</vt:lpstr>
      <vt:lpstr>Total_Income_Budgeted_Jul</vt:lpstr>
      <vt:lpstr>Total_Income_Budgeted_Jun</vt:lpstr>
      <vt:lpstr>Total_Income_Budgeted_Mar</vt:lpstr>
      <vt:lpstr>Total_Income_Budgeted_May</vt:lpstr>
      <vt:lpstr>Total_Income_Budgeted_Nov</vt:lpstr>
      <vt:lpstr>Total_Income_Budgeted_Oct</vt:lpstr>
      <vt:lpstr>Total_Income_Budgeted_Sep</vt:lpstr>
      <vt:lpstr>Total_Income_Budgeted_YEARLY</vt:lpstr>
      <vt:lpstr>TOTAL_MarDEDUCTIONS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Msimang</dc:creator>
  <cp:lastModifiedBy>Daphney Neke Smith</cp:lastModifiedBy>
  <dcterms:created xsi:type="dcterms:W3CDTF">2019-03-23T12:46:43Z</dcterms:created>
  <dcterms:modified xsi:type="dcterms:W3CDTF">2020-10-05T15:14:50Z</dcterms:modified>
</cp:coreProperties>
</file>