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276" windowWidth="15600" windowHeight="7212" tabRatio="697"/>
  </bookViews>
  <sheets>
    <sheet name="Total" sheetId="20" r:id="rId1"/>
  </sheets>
  <calcPr calcId="145621" iterate="1"/>
</workbook>
</file>

<file path=xl/calcChain.xml><?xml version="1.0" encoding="utf-8"?>
<calcChain xmlns="http://schemas.openxmlformats.org/spreadsheetml/2006/main">
  <c r="G67" i="20" l="1"/>
  <c r="G65" i="20"/>
  <c r="G64" i="20"/>
  <c r="G63" i="20"/>
  <c r="G62" i="20"/>
  <c r="G61" i="20"/>
  <c r="G60" i="20"/>
  <c r="G59" i="20"/>
  <c r="G58" i="20"/>
  <c r="G57" i="20"/>
  <c r="G56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7" i="20"/>
  <c r="G35" i="20"/>
  <c r="G33" i="20"/>
  <c r="G31" i="20"/>
  <c r="G30" i="20"/>
  <c r="G29" i="20"/>
  <c r="G28" i="20"/>
  <c r="G27" i="20"/>
  <c r="G25" i="20"/>
  <c r="G24" i="20"/>
  <c r="G23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F67" i="20"/>
  <c r="F65" i="20"/>
  <c r="F62" i="20"/>
  <c r="F60" i="20"/>
  <c r="F59" i="20"/>
  <c r="F58" i="20"/>
  <c r="F57" i="20"/>
  <c r="F56" i="20"/>
  <c r="F48" i="20"/>
  <c r="F45" i="20"/>
  <c r="F41" i="20"/>
  <c r="F40" i="20"/>
  <c r="F37" i="20"/>
  <c r="F35" i="20"/>
  <c r="F31" i="20"/>
  <c r="F28" i="20"/>
  <c r="F25" i="20"/>
  <c r="F24" i="20"/>
  <c r="F23" i="20"/>
  <c r="F15" i="20"/>
  <c r="F12" i="20"/>
  <c r="F10" i="20"/>
  <c r="F9" i="20"/>
  <c r="F8" i="20"/>
  <c r="E67" i="20"/>
  <c r="E65" i="20"/>
  <c r="E62" i="20"/>
  <c r="E60" i="20"/>
  <c r="E59" i="20"/>
  <c r="E58" i="20"/>
  <c r="E57" i="20"/>
  <c r="E56" i="20"/>
  <c r="E48" i="20"/>
  <c r="E45" i="20"/>
  <c r="E43" i="20"/>
  <c r="E42" i="20"/>
  <c r="E41" i="20"/>
  <c r="E40" i="20"/>
  <c r="E37" i="20"/>
  <c r="E35" i="20"/>
  <c r="E31" i="20"/>
  <c r="E28" i="20"/>
  <c r="E27" i="20"/>
  <c r="E25" i="20"/>
  <c r="E23" i="20"/>
  <c r="E15" i="20"/>
  <c r="E12" i="20"/>
  <c r="E10" i="20"/>
  <c r="E9" i="20"/>
  <c r="E8" i="20"/>
  <c r="D65" i="20"/>
  <c r="D58" i="20"/>
  <c r="D56" i="20"/>
  <c r="D48" i="20"/>
  <c r="D41" i="20"/>
  <c r="D40" i="20"/>
  <c r="D37" i="20"/>
  <c r="D31" i="20"/>
  <c r="D28" i="20"/>
  <c r="D23" i="20"/>
  <c r="D15" i="20"/>
  <c r="D8" i="20"/>
  <c r="C67" i="20"/>
  <c r="C65" i="20"/>
  <c r="C62" i="20"/>
  <c r="C60" i="20"/>
  <c r="C59" i="20"/>
  <c r="C58" i="20"/>
  <c r="C56" i="20"/>
  <c r="C52" i="20"/>
  <c r="C50" i="20"/>
  <c r="C49" i="20"/>
  <c r="C48" i="20"/>
  <c r="C45" i="20"/>
  <c r="C43" i="20"/>
  <c r="C42" i="20"/>
  <c r="C41" i="20"/>
  <c r="C40" i="20"/>
  <c r="C37" i="20"/>
  <c r="C35" i="20"/>
  <c r="C31" i="20"/>
  <c r="C28" i="20"/>
  <c r="C27" i="20"/>
  <c r="C25" i="20"/>
  <c r="C24" i="20"/>
  <c r="C23" i="20"/>
  <c r="C15" i="20"/>
  <c r="C12" i="20"/>
  <c r="C10" i="20"/>
  <c r="C9" i="20"/>
  <c r="C8" i="20"/>
  <c r="B67" i="20"/>
  <c r="B65" i="20"/>
  <c r="B62" i="20"/>
  <c r="B60" i="20"/>
  <c r="B59" i="20"/>
  <c r="B58" i="20"/>
  <c r="B57" i="20"/>
  <c r="B56" i="20"/>
  <c r="B52" i="20"/>
  <c r="B50" i="20"/>
  <c r="B49" i="20"/>
  <c r="B48" i="20"/>
  <c r="B45" i="20"/>
  <c r="B43" i="20"/>
  <c r="B42" i="20"/>
  <c r="B41" i="20"/>
  <c r="B40" i="20"/>
  <c r="B37" i="20"/>
  <c r="B35" i="20"/>
  <c r="B31" i="20"/>
  <c r="B28" i="20"/>
  <c r="B27" i="20"/>
  <c r="B23" i="20"/>
  <c r="B19" i="20"/>
  <c r="B17" i="20"/>
  <c r="B16" i="20"/>
  <c r="B15" i="20"/>
  <c r="B12" i="20"/>
  <c r="B10" i="20"/>
  <c r="B9" i="20"/>
  <c r="B8" i="20"/>
  <c r="C61" i="20"/>
  <c r="C51" i="20"/>
  <c r="C44" i="20"/>
  <c r="C11" i="20"/>
  <c r="B61" i="20"/>
  <c r="B51" i="20"/>
  <c r="B44" i="20"/>
  <c r="B11" i="20"/>
  <c r="F64" i="20"/>
  <c r="F63" i="20"/>
  <c r="F53" i="20"/>
  <c r="F52" i="20"/>
  <c r="F46" i="20"/>
  <c r="F30" i="20"/>
  <c r="F29" i="20"/>
  <c r="F27" i="20"/>
  <c r="F19" i="20"/>
  <c r="F13" i="20"/>
  <c r="E63" i="20"/>
  <c r="E53" i="20"/>
  <c r="E52" i="20"/>
  <c r="E46" i="20"/>
  <c r="E30" i="20"/>
  <c r="E24" i="20"/>
  <c r="E13" i="20"/>
  <c r="D63" i="20"/>
  <c r="D62" i="20"/>
  <c r="D57" i="20"/>
  <c r="D30" i="20"/>
  <c r="D13" i="20"/>
  <c r="D12" i="20"/>
  <c r="C63" i="20"/>
  <c r="C57" i="20"/>
  <c r="C53" i="20"/>
  <c r="C46" i="20"/>
  <c r="C30" i="20"/>
  <c r="C13" i="20"/>
  <c r="B64" i="20"/>
  <c r="B63" i="20"/>
  <c r="B53" i="20"/>
  <c r="B47" i="20"/>
  <c r="B46" i="20"/>
  <c r="B30" i="20"/>
  <c r="B14" i="20"/>
  <c r="B13" i="20"/>
  <c r="F61" i="20"/>
  <c r="F54" i="20"/>
  <c r="F51" i="20"/>
  <c r="F50" i="20"/>
  <c r="F49" i="20"/>
  <c r="F47" i="20"/>
  <c r="F44" i="20"/>
  <c r="F43" i="20"/>
  <c r="F42" i="20"/>
  <c r="F33" i="20"/>
  <c r="F21" i="20"/>
  <c r="F20" i="20"/>
  <c r="F18" i="20"/>
  <c r="F17" i="20"/>
  <c r="F16" i="20"/>
  <c r="F14" i="20"/>
  <c r="F11" i="20"/>
  <c r="E64" i="20"/>
  <c r="E61" i="20"/>
  <c r="E54" i="20"/>
  <c r="E51" i="20"/>
  <c r="E50" i="20"/>
  <c r="E49" i="20"/>
  <c r="E47" i="20"/>
  <c r="E44" i="20"/>
  <c r="E33" i="20"/>
  <c r="E29" i="20"/>
  <c r="E21" i="20"/>
  <c r="E20" i="20"/>
  <c r="E19" i="20"/>
  <c r="E18" i="20"/>
  <c r="E17" i="20"/>
  <c r="E16" i="20"/>
  <c r="E14" i="20"/>
  <c r="E11" i="20"/>
  <c r="D67" i="20"/>
  <c r="D64" i="20"/>
  <c r="D61" i="20"/>
  <c r="D60" i="20"/>
  <c r="D59" i="20"/>
  <c r="D54" i="20"/>
  <c r="D53" i="20"/>
  <c r="D52" i="20"/>
  <c r="D51" i="20"/>
  <c r="D50" i="20"/>
  <c r="D49" i="20"/>
  <c r="D47" i="20"/>
  <c r="D46" i="20"/>
  <c r="D45" i="20"/>
  <c r="D44" i="20"/>
  <c r="D43" i="20"/>
  <c r="D42" i="20"/>
  <c r="D35" i="20"/>
  <c r="D33" i="20"/>
  <c r="D29" i="20"/>
  <c r="D25" i="20"/>
  <c r="D24" i="20"/>
  <c r="D21" i="20"/>
  <c r="D20" i="20"/>
  <c r="D19" i="20"/>
  <c r="D18" i="20"/>
  <c r="D17" i="20"/>
  <c r="D16" i="20"/>
  <c r="D14" i="20"/>
  <c r="D11" i="20"/>
  <c r="D10" i="20"/>
  <c r="D9" i="20"/>
  <c r="C64" i="20"/>
  <c r="C54" i="20"/>
  <c r="C47" i="20"/>
  <c r="C33" i="20"/>
  <c r="C29" i="20"/>
  <c r="C21" i="20"/>
  <c r="C20" i="20"/>
  <c r="C19" i="20"/>
  <c r="C18" i="20"/>
  <c r="C17" i="20"/>
  <c r="C16" i="20"/>
  <c r="C14" i="20"/>
  <c r="B54" i="20"/>
  <c r="B33" i="20"/>
  <c r="B29" i="20"/>
  <c r="B25" i="20"/>
  <c r="B24" i="20"/>
  <c r="B21" i="20"/>
  <c r="B20" i="20"/>
  <c r="B18" i="20"/>
  <c r="D27" i="20" l="1"/>
  <c r="H21" i="20" l="1"/>
  <c r="H12" i="20"/>
  <c r="H67" i="20"/>
  <c r="H65" i="20"/>
  <c r="H64" i="20"/>
  <c r="H63" i="20"/>
  <c r="H62" i="20"/>
  <c r="H61" i="20"/>
  <c r="H60" i="20"/>
  <c r="H57" i="20"/>
  <c r="H56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7" i="20"/>
  <c r="H35" i="20"/>
  <c r="H33" i="20"/>
  <c r="H31" i="20"/>
  <c r="H30" i="20"/>
  <c r="H29" i="20"/>
  <c r="H28" i="20"/>
  <c r="H27" i="20"/>
  <c r="H25" i="20"/>
  <c r="H24" i="20"/>
  <c r="H23" i="20"/>
  <c r="H20" i="20"/>
  <c r="H19" i="20"/>
  <c r="H18" i="20"/>
  <c r="H17" i="20"/>
  <c r="H16" i="20"/>
  <c r="H15" i="20"/>
  <c r="H14" i="20"/>
  <c r="H13" i="20"/>
  <c r="H11" i="20"/>
  <c r="H10" i="20"/>
  <c r="H9" i="20"/>
  <c r="I8" i="20"/>
  <c r="H8" i="20"/>
  <c r="H59" i="20" l="1"/>
  <c r="H58" i="20"/>
</calcChain>
</file>

<file path=xl/sharedStrings.xml><?xml version="1.0" encoding="utf-8"?>
<sst xmlns="http://schemas.openxmlformats.org/spreadsheetml/2006/main" count="67" uniqueCount="36">
  <si>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</si>
  <si>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</si>
  <si>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</si>
  <si>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</si>
  <si>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</si>
  <si>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</si>
  <si>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</si>
  <si>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</si>
  <si>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</si>
  <si>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</si>
  <si>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</si>
  <si>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</si>
  <si>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</si>
  <si>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</si>
  <si>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</si>
  <si>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</si>
  <si>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</si>
  <si>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</si>
  <si>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</si>
  <si>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</si>
  <si>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</si>
  <si>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</si>
  <si>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</si>
  <si>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</si>
  <si>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</si>
  <si>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</si>
  <si>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</si>
  <si>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</si>
  <si>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</si>
  <si>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</si>
  <si>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</si>
  <si>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</si>
  <si>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</si>
  <si>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</si>
  <si>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31 March 2015</t>
  </si>
  <si>
    <t>( A )  Market value of assets under administration as at 31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</si>
</sst>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3" formatCode="_ * #,##0.00_ ;_ * \-#,##0.00_ ;_ * &quot;-&quot;??_ ;_ @_ "/>
    <numFmt numFmtId="164" formatCode="_(* #,##0.00_);_(* \(#,##0.00\);_(* &quot;-&quot;??_);_(@_)"/>
    <numFmt numFmtId="165" formatCode="_._.* #,##0.0_)_%;_._.* \(#,##0.0\)_%"/>
    <numFmt numFmtId="166" formatCode="_._.* #,##0.00_)_%;_._.* \(#,##0.00\)_%"/>
    <numFmt numFmtId="167" formatCode="_._.* #,##0.000_)_%;_._.* \(#,##0.000\)_%"/>
    <numFmt numFmtId="168" formatCode="_._.* #,##0.0000_)_%;_._.* \(#,##0.0000\)_%"/>
    <numFmt numFmtId="169" formatCode="_._.&quot;$&quot;* #,##0.0_)_%;_._.&quot;$&quot;* \(#,##0.0\)_%"/>
    <numFmt numFmtId="170" formatCode="_._.&quot;$&quot;* #,##0.00_)_%;_._.&quot;$&quot;* \(#,##0.00\)_%"/>
    <numFmt numFmtId="171" formatCode="_._.&quot;$&quot;* #,##0.000_)_%;_._.&quot;$&quot;* \(#,##0.000\)_%"/>
    <numFmt numFmtId="172" formatCode="_._.&quot;$&quot;* #,##0.0000_)_%;_._.&quot;$&quot;* \(#,##0.0000\)_%"/>
    <numFmt numFmtId="173" formatCode="mmmm\ d\,\ yyyy"/>
    <numFmt numFmtId="174" formatCode="_ [$€-2]\ * #,##0.00_ ;_ [$€-2]\ * \-#,##0.00_ ;_ [$€-2]\ * &quot;-&quot;??_ "/>
    <numFmt numFmtId="175" formatCode="_(0_)%;\(0\)%"/>
    <numFmt numFmtId="176" formatCode="_._._(* 0_)%;_._.* \(0\)%"/>
    <numFmt numFmtId="177" formatCode="0%_);\(0%\)"/>
    <numFmt numFmtId="178" formatCode="0%_)"/>
    <numFmt numFmtId="179" formatCode="_(0.0_)%;\(0.0\)%"/>
    <numFmt numFmtId="180" formatCode="_._._(* 0.0_)%;_._.* \(0.0\)%"/>
    <numFmt numFmtId="181" formatCode="_(0.00_)%;\(0.00\)%"/>
    <numFmt numFmtId="182" formatCode="_._._(* 0.00_)%;_._.* \(0.00\)%"/>
    <numFmt numFmtId="183" formatCode="_(0.000_)%;\(0.000\)%"/>
    <numFmt numFmtId="184" formatCode="_._._(* 0.000_)%;_._.* \(0.000\)%"/>
    <numFmt numFmtId="185" formatCode="_(0.0000_)%;\(0.0000\)%"/>
    <numFmt numFmtId="186" formatCode="_._._(* 0.0000_)%;_._.* \(0.0000\)%"/>
    <numFmt numFmtId="187" formatCode="_(* #,##0_);_(* \(#,##0\);_(* 0_);_(@_)"/>
    <numFmt numFmtId="188" formatCode="_(* #,##0.0_);_(* \(#,##0.0\)"/>
    <numFmt numFmtId="189" formatCode="_(* #,##0.00_);_(* \(#,##0.00\)"/>
    <numFmt numFmtId="190" formatCode="_(* #,##0.000_);_(* \(#,##0.000\)"/>
    <numFmt numFmtId="191" formatCode="_(&quot;$&quot;* #,##0_);_(&quot;$&quot;* \(#,##0\);_(&quot;$&quot;* 0_);_(@_)"/>
    <numFmt numFmtId="192" formatCode="_(&quot;$&quot;* #,##0.0_);_(&quot;$&quot;* \(#,##0.0\)"/>
    <numFmt numFmtId="193" formatCode="_(&quot;$&quot;* #,##0.00_);_(&quot;$&quot;* \(#,##0.00\)"/>
    <numFmt numFmtId="194" formatCode="_(&quot;$&quot;* #,##0.000_);_(&quot;$&quot;* \(#,##0.000\)"/>
    <numFmt numFmtId="195" formatCode="0.0%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975">
    <xf numFmtId="0" fontId="0" fillId="0" borderId="0"/>
    <xf numFmtId="0" fontId="4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37" fontId="27" fillId="20" borderId="1" applyBorder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37" fontId="28" fillId="21" borderId="0"/>
    <xf numFmtId="37" fontId="28" fillId="21" borderId="0"/>
    <xf numFmtId="37" fontId="28" fillId="21" borderId="0"/>
    <xf numFmtId="0" fontId="29" fillId="22" borderId="0" applyBorder="0">
      <alignment horizontal="left" vertical="center" indent="1"/>
    </xf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13" fillId="23" borderId="2" applyNumberFormat="0" applyAlignment="0" applyProtection="0"/>
    <xf numFmtId="0" fontId="30" fillId="0" borderId="0" applyFill="0" applyBorder="0" applyProtection="0">
      <alignment horizontal="center"/>
      <protection locked="0"/>
    </xf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0" fontId="14" fillId="24" borderId="3" applyNumberFormat="0" applyAlignment="0" applyProtection="0"/>
    <xf numFmtId="164" fontId="31" fillId="0" borderId="0"/>
    <xf numFmtId="164" fontId="31" fillId="0" borderId="0"/>
    <xf numFmtId="164" fontId="31" fillId="0" borderId="0"/>
    <xf numFmtId="165" fontId="32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0" fillId="0" borderId="0" applyFont="0" applyFill="0" applyBorder="0" applyAlignment="0" applyProtection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4" fillId="0" borderId="0" applyFill="0" applyBorder="0" applyAlignment="0" applyProtection="0">
      <protection locked="0"/>
    </xf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0" fillId="0" borderId="0" applyFont="0" applyFill="0" applyBorder="0" applyAlignment="0" applyProtection="0">
      <protection locked="0"/>
    </xf>
    <xf numFmtId="173" fontId="35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37" fontId="36" fillId="25" borderId="4" applyBorder="0">
      <alignment horizontal="left" vertical="center" indent="1"/>
    </xf>
    <xf numFmtId="37" fontId="37" fillId="26" borderId="5" applyFill="0">
      <alignment vertical="center"/>
    </xf>
    <xf numFmtId="0" fontId="37" fillId="21" borderId="6" applyNumberFormat="0">
      <alignment horizontal="left" vertical="top" indent="1"/>
    </xf>
    <xf numFmtId="0" fontId="37" fillId="20" borderId="0" applyBorder="0">
      <alignment horizontal="left" vertical="center" indent="1"/>
    </xf>
    <xf numFmtId="0" fontId="37" fillId="0" borderId="6" applyNumberFormat="0" applyFill="0">
      <alignment horizontal="centerContinuous" vertical="top"/>
    </xf>
    <xf numFmtId="0" fontId="38" fillId="20" borderId="7" applyNumberFormat="0" applyBorder="0">
      <alignment horizontal="left" vertical="center" indent="1"/>
    </xf>
    <xf numFmtId="0" fontId="39" fillId="0" borderId="0">
      <alignment horizontal="right"/>
    </xf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0" fillId="0" borderId="0" applyFill="0" applyAlignment="0" applyProtection="0">
      <protection locked="0"/>
    </xf>
    <xf numFmtId="0" fontId="30" fillId="0" borderId="11" applyFill="0" applyAlignment="0" applyProtection="0">
      <protection locked="0"/>
    </xf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40" fillId="26" borderId="0">
      <alignment horizontal="left" indent="1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37" fontId="27" fillId="20" borderId="13" applyBorder="0">
      <alignment horizontal="left" vertical="center" indent="2"/>
    </xf>
    <xf numFmtId="0" fontId="41" fillId="0" borderId="0">
      <alignment vertical="top"/>
    </xf>
    <xf numFmtId="0" fontId="41" fillId="0" borderId="0">
      <alignment vertical="top"/>
    </xf>
    <xf numFmtId="0" fontId="42" fillId="0" borderId="0"/>
    <xf numFmtId="0" fontId="2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" fillId="28" borderId="14" applyNumberFormat="0" applyFont="0" applyAlignment="0" applyProtection="0"/>
    <xf numFmtId="0" fontId="47" fillId="28" borderId="14" applyNumberFormat="0" applyFon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23" fillId="23" borderId="15" applyNumberFormat="0" applyAlignment="0" applyProtection="0"/>
    <xf numFmtId="0" fontId="43" fillId="0" borderId="0"/>
    <xf numFmtId="9" fontId="3" fillId="0" borderId="0" applyFont="0" applyFill="0" applyBorder="0" applyAlignment="0" applyProtection="0"/>
    <xf numFmtId="175" fontId="33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31" fillId="0" borderId="0" applyBorder="0">
      <alignment horizontal="right"/>
    </xf>
    <xf numFmtId="179" fontId="33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2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2" fillId="0" borderId="0" applyFont="0" applyFill="0" applyBorder="0" applyAlignment="0" applyProtection="0"/>
    <xf numFmtId="185" fontId="30" fillId="0" borderId="0" applyFont="0" applyFill="0" applyBorder="0" applyAlignment="0" applyProtection="0">
      <protection locked="0"/>
    </xf>
    <xf numFmtId="186" fontId="32" fillId="0" borderId="0" applyFont="0" applyFill="0" applyBorder="0" applyAlignment="0" applyProtection="0"/>
    <xf numFmtId="0" fontId="44" fillId="22" borderId="0">
      <alignment horizontal="left" indent="1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31" fillId="0" borderId="0" applyNumberFormat="0" applyBorder="0" applyAlignment="0">
      <alignment horizontal="centerContinuous"/>
    </xf>
    <xf numFmtId="0" fontId="45" fillId="22" borderId="0" applyBorder="0">
      <alignment horizontal="left" vertical="center" indent="1"/>
    </xf>
    <xf numFmtId="0" fontId="46" fillId="0" borderId="0" applyFill="0" applyBorder="0" applyProtection="0">
      <alignment horizontal="left" vertical="top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87" fontId="32" fillId="0" borderId="0" applyFont="0" applyFill="0" applyBorder="0" applyAlignment="0" applyProtection="0"/>
    <xf numFmtId="188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192" fontId="32" fillId="0" borderId="0" applyFont="0" applyFill="0" applyBorder="0" applyAlignment="0" applyProtection="0"/>
    <xf numFmtId="193" fontId="32" fillId="0" borderId="0" applyFont="0" applyFill="0" applyBorder="0" applyAlignment="0" applyProtection="0"/>
    <xf numFmtId="194" fontId="32" fillId="0" borderId="0" applyFont="0" applyFill="0" applyBorder="0" applyAlignment="0" applyProtection="0"/>
    <xf numFmtId="0" fontId="3" fillId="28" borderId="14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" fillId="0" borderId="0"/>
    <xf numFmtId="0" fontId="49" fillId="28" borderId="1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3" fontId="5" fillId="20" borderId="0" xfId="0" applyNumberFormat="1" applyFont="1" applyFill="1" applyAlignment="1">
      <alignment horizontal="left" vertical="center"/>
    </xf>
    <xf numFmtId="3" fontId="6" fillId="20" borderId="0" xfId="0" applyNumberFormat="1" applyFont="1" applyFill="1" applyAlignment="1">
      <alignment horizontal="right" vertical="center"/>
    </xf>
    <xf numFmtId="3" fontId="7" fillId="20" borderId="0" xfId="0" applyNumberFormat="1" applyFont="1" applyFill="1" applyAlignment="1">
      <alignment vertical="center"/>
    </xf>
    <xf numFmtId="3" fontId="6" fillId="20" borderId="0" xfId="0" applyNumberFormat="1" applyFont="1" applyFill="1" applyAlignment="1" applyProtection="1">
      <alignment horizontal="right" vertical="center"/>
      <protection locked="0"/>
    </xf>
    <xf numFmtId="3" fontId="6" fillId="20" borderId="0" xfId="0" applyNumberFormat="1" applyFont="1" applyFill="1" applyAlignment="1">
      <alignment vertical="center"/>
    </xf>
    <xf numFmtId="3" fontId="8" fillId="20" borderId="0" xfId="0" applyNumberFormat="1" applyFont="1" applyFill="1" applyAlignment="1">
      <alignment vertical="center"/>
    </xf>
    <xf numFmtId="3" fontId="8" fillId="29" borderId="17" xfId="0" applyNumberFormat="1" applyFont="1" applyFill="1" applyBorder="1" applyAlignment="1">
      <alignment horizontal="center" vertical="center"/>
    </xf>
    <xf numFmtId="3" fontId="8" fillId="29" borderId="17" xfId="0" applyNumberFormat="1" applyFont="1" applyFill="1" applyBorder="1" applyAlignment="1">
      <alignment horizontal="right" vertical="center"/>
    </xf>
    <xf numFmtId="3" fontId="8" fillId="29" borderId="17" xfId="0" applyNumberFormat="1" applyFont="1" applyFill="1" applyBorder="1" applyAlignment="1">
      <alignment horizontal="right" vertical="center" wrapText="1"/>
    </xf>
    <xf numFmtId="3" fontId="8" fillId="29" borderId="17" xfId="0" applyNumberFormat="1" applyFont="1" applyFill="1" applyBorder="1" applyAlignment="1" applyProtection="1">
      <alignment horizontal="right" vertical="center" wrapText="1"/>
    </xf>
    <xf numFmtId="3" fontId="8" fillId="20" borderId="18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vertical="center"/>
    </xf>
    <xf numFmtId="3" fontId="8" fillId="20" borderId="19" xfId="0" applyNumberFormat="1" applyFont="1" applyFill="1" applyBorder="1" applyAlignment="1">
      <alignment vertical="center"/>
    </xf>
    <xf numFmtId="3" fontId="6" fillId="26" borderId="19" xfId="0" applyNumberFormat="1" applyFont="1" applyFill="1" applyBorder="1" applyAlignment="1">
      <alignment vertical="center"/>
    </xf>
    <xf numFmtId="3" fontId="6" fillId="20" borderId="19" xfId="0" applyNumberFormat="1" applyFont="1" applyFill="1" applyBorder="1" applyAlignment="1">
      <alignment horizontal="left" vertical="center"/>
    </xf>
    <xf numFmtId="3" fontId="6" fillId="26" borderId="19" xfId="0" applyNumberFormat="1" applyFont="1" applyFill="1" applyBorder="1" applyAlignment="1">
      <alignment horizontal="left" vertical="center"/>
    </xf>
    <xf numFmtId="3" fontId="8" fillId="20" borderId="19" xfId="0" applyNumberFormat="1" applyFont="1" applyFill="1" applyBorder="1" applyAlignment="1">
      <alignment horizontal="left" vertical="center"/>
    </xf>
    <xf numFmtId="3" fontId="8" fillId="26" borderId="4" xfId="0" applyNumberFormat="1" applyFont="1" applyFill="1" applyBorder="1" applyAlignment="1">
      <alignment horizontal="left" vertical="center"/>
    </xf>
    <xf numFmtId="3" fontId="8" fillId="20" borderId="4" xfId="0" applyNumberFormat="1" applyFont="1" applyFill="1" applyBorder="1" applyAlignment="1">
      <alignment vertical="center"/>
    </xf>
    <xf numFmtId="3" fontId="6" fillId="20" borderId="4" xfId="0" applyNumberFormat="1" applyFont="1" applyFill="1" applyBorder="1" applyAlignment="1">
      <alignment vertical="center"/>
    </xf>
    <xf numFmtId="3" fontId="6" fillId="20" borderId="20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horizontal="left" vertical="center"/>
    </xf>
    <xf numFmtId="3" fontId="8" fillId="20" borderId="22" xfId="0" applyNumberFormat="1" applyFont="1" applyFill="1" applyBorder="1" applyAlignment="1">
      <alignment vertical="center"/>
    </xf>
    <xf numFmtId="3" fontId="6" fillId="20" borderId="21" xfId="0" applyNumberFormat="1" applyFont="1" applyFill="1" applyBorder="1" applyAlignment="1">
      <alignment vertical="center"/>
    </xf>
    <xf numFmtId="10" fontId="0" fillId="0" borderId="0" xfId="3909" applyNumberFormat="1" applyFont="1"/>
    <xf numFmtId="3" fontId="0" fillId="0" borderId="0" xfId="0" applyNumberFormat="1"/>
    <xf numFmtId="3" fontId="6" fillId="26" borderId="19" xfId="0" applyNumberFormat="1" applyFont="1" applyFill="1" applyBorder="1" applyAlignment="1" applyProtection="1">
      <alignment horizontal="right" vertical="center"/>
    </xf>
    <xf numFmtId="3" fontId="8" fillId="20" borderId="18" xfId="0" applyNumberFormat="1" applyFont="1" applyFill="1" applyBorder="1" applyAlignment="1" applyProtection="1">
      <alignment horizontal="right" vertical="center"/>
    </xf>
    <xf numFmtId="3" fontId="6" fillId="20" borderId="19" xfId="0" applyNumberFormat="1" applyFont="1" applyFill="1" applyBorder="1" applyAlignment="1" applyProtection="1">
      <alignment horizontal="right" vertical="center"/>
    </xf>
    <xf numFmtId="3" fontId="8" fillId="20" borderId="19" xfId="0" applyNumberFormat="1" applyFont="1" applyFill="1" applyBorder="1" applyAlignment="1" applyProtection="1">
      <alignment horizontal="right" vertical="center"/>
    </xf>
    <xf numFmtId="3" fontId="8" fillId="20" borderId="22" xfId="0" applyNumberFormat="1" applyFont="1" applyFill="1" applyBorder="1" applyAlignment="1" applyProtection="1">
      <alignment horizontal="right" vertical="center"/>
    </xf>
    <xf numFmtId="3" fontId="6" fillId="20" borderId="19" xfId="0" applyNumberFormat="1" applyFont="1" applyFill="1" applyBorder="1" applyAlignment="1">
      <alignment horizontal="right" vertical="center"/>
    </xf>
    <xf numFmtId="3" fontId="6" fillId="20" borderId="21" xfId="0" applyNumberFormat="1" applyFont="1" applyFill="1" applyBorder="1" applyAlignment="1">
      <alignment horizontal="right" vertical="center"/>
    </xf>
    <xf numFmtId="3" fontId="6" fillId="20" borderId="18" xfId="0" applyNumberFormat="1" applyFont="1" applyFill="1" applyBorder="1" applyAlignment="1" applyProtection="1">
      <alignment horizontal="right" vertical="center"/>
    </xf>
    <xf numFmtId="10" fontId="50" fillId="0" borderId="0" xfId="3909" applyNumberFormat="1" applyFont="1"/>
    <xf numFmtId="195" fontId="50" fillId="0" borderId="0" xfId="3909" applyNumberFormat="1" applyFont="1"/>
    <xf numFmtId="0" fontId="50" fillId="0" borderId="0" xfId="0" applyFont="1"/>
  </cellXfs>
  <cellStyles count="3975">
    <cellStyle name="=C:\WINNT35\SYSTEM32\COMMAND.COM" xfId="1"/>
    <cellStyle name="20% - Accent1" xfId="2" builtinId="30" customBuiltin="1"/>
    <cellStyle name="20% - Accent1 10" xfId="3"/>
    <cellStyle name="20% - Accent1 11" xfId="4"/>
    <cellStyle name="20% - Accent1 12" xfId="5"/>
    <cellStyle name="20% - Accent1 13" xfId="6"/>
    <cellStyle name="20% - Accent1 14" xfId="7"/>
    <cellStyle name="20% - Accent1 15" xfId="8"/>
    <cellStyle name="20% - Accent1 16" xfId="9"/>
    <cellStyle name="20% - Accent1 17" xfId="10"/>
    <cellStyle name="20% - Accent1 18" xfId="11"/>
    <cellStyle name="20% - Accent1 19" xfId="12"/>
    <cellStyle name="20% - Accent1 2" xfId="13"/>
    <cellStyle name="20% - Accent1 2 10" xfId="14"/>
    <cellStyle name="20% - Accent1 2 11" xfId="15"/>
    <cellStyle name="20% - Accent1 2 12" xfId="16"/>
    <cellStyle name="20% - Accent1 2 13" xfId="17"/>
    <cellStyle name="20% - Accent1 2 14" xfId="18"/>
    <cellStyle name="20% - Accent1 2 15" xfId="19"/>
    <cellStyle name="20% - Accent1 2 16" xfId="20"/>
    <cellStyle name="20% - Accent1 2 17" xfId="21"/>
    <cellStyle name="20% - Accent1 2 18" xfId="22"/>
    <cellStyle name="20% - Accent1 2 19" xfId="23"/>
    <cellStyle name="20% - Accent1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20" xfId="32"/>
    <cellStyle name="20% - Accent1 21" xfId="33"/>
    <cellStyle name="20% - Accent1 22" xfId="34"/>
    <cellStyle name="20% - Accent1 23" xfId="35"/>
    <cellStyle name="20% - Accent1 24" xfId="36"/>
    <cellStyle name="20% - Accent1 25" xfId="37"/>
    <cellStyle name="20% - Accent1 26" xfId="38"/>
    <cellStyle name="20% - Accent1 27" xfId="39"/>
    <cellStyle name="20% - Accent1 28" xfId="40"/>
    <cellStyle name="20% - Accent1 29" xfId="41"/>
    <cellStyle name="20% - Accent1 3" xfId="42"/>
    <cellStyle name="20% - Accent1 3 10" xfId="43"/>
    <cellStyle name="20% - Accent1 3 11" xfId="44"/>
    <cellStyle name="20% - Accent1 3 12" xfId="45"/>
    <cellStyle name="20% - Accent1 3 13" xfId="46"/>
    <cellStyle name="20% - Accent1 3 14" xfId="47"/>
    <cellStyle name="20% - Accent1 3 15" xfId="48"/>
    <cellStyle name="20% - Accent1 3 16" xfId="49"/>
    <cellStyle name="20% - Accent1 3 17" xfId="50"/>
    <cellStyle name="20% - Accent1 3 18" xfId="51"/>
    <cellStyle name="20% - Accent1 3 19" xfId="52"/>
    <cellStyle name="20% - Accent1 3 2" xfId="53"/>
    <cellStyle name="20% - Accent1 3 3" xfId="54"/>
    <cellStyle name="20% - Accent1 3 4" xfId="55"/>
    <cellStyle name="20% - Accent1 3 5" xfId="56"/>
    <cellStyle name="20% - Accent1 3 6" xfId="57"/>
    <cellStyle name="20% - Accent1 3 7" xfId="58"/>
    <cellStyle name="20% - Accent1 3 8" xfId="59"/>
    <cellStyle name="20% - Accent1 3 9" xfId="60"/>
    <cellStyle name="20% - Accent1 30" xfId="61"/>
    <cellStyle name="20% - Accent1 31" xfId="62"/>
    <cellStyle name="20% - Accent1 32" xfId="63"/>
    <cellStyle name="20% - Accent1 33" xfId="64"/>
    <cellStyle name="20% - Accent1 34" xfId="65"/>
    <cellStyle name="20% - Accent1 35" xfId="66"/>
    <cellStyle name="20% - Accent1 36" xfId="67"/>
    <cellStyle name="20% - Accent1 37" xfId="68"/>
    <cellStyle name="20% - Accent1 38" xfId="69"/>
    <cellStyle name="20% - Accent1 39" xfId="70"/>
    <cellStyle name="20% - Accent1 4" xfId="71"/>
    <cellStyle name="20% - Accent1 4 10" xfId="72"/>
    <cellStyle name="20% - Accent1 4 11" xfId="73"/>
    <cellStyle name="20% - Accent1 4 12" xfId="74"/>
    <cellStyle name="20% - Accent1 4 13" xfId="75"/>
    <cellStyle name="20% - Accent1 4 14" xfId="76"/>
    <cellStyle name="20% - Accent1 4 15" xfId="77"/>
    <cellStyle name="20% - Accent1 4 16" xfId="78"/>
    <cellStyle name="20% - Accent1 4 17" xfId="79"/>
    <cellStyle name="20% - Accent1 4 18" xfId="80"/>
    <cellStyle name="20% - Accent1 4 19" xfId="81"/>
    <cellStyle name="20% - Accent1 4 2" xfId="82"/>
    <cellStyle name="20% - Accent1 4 3" xfId="83"/>
    <cellStyle name="20% - Accent1 4 4" xfId="84"/>
    <cellStyle name="20% - Accent1 4 5" xfId="85"/>
    <cellStyle name="20% - Accent1 4 6" xfId="86"/>
    <cellStyle name="20% - Accent1 4 7" xfId="87"/>
    <cellStyle name="20% - Accent1 4 8" xfId="88"/>
    <cellStyle name="20% - Accent1 4 9" xfId="89"/>
    <cellStyle name="20% - Accent1 40" xfId="90"/>
    <cellStyle name="20% - Accent1 41" xfId="91"/>
    <cellStyle name="20% - Accent1 42" xfId="92"/>
    <cellStyle name="20% - Accent1 43" xfId="93"/>
    <cellStyle name="20% - Accent1 44" xfId="94"/>
    <cellStyle name="20% - Accent1 45" xfId="95"/>
    <cellStyle name="20% - Accent1 46" xfId="96"/>
    <cellStyle name="20% - Accent1 47" xfId="97"/>
    <cellStyle name="20% - Accent1 48" xfId="98"/>
    <cellStyle name="20% - Accent1 49" xfId="99"/>
    <cellStyle name="20% - Accent1 5" xfId="100"/>
    <cellStyle name="20% - Accent1 50" xfId="101"/>
    <cellStyle name="20% - Accent1 6" xfId="102"/>
    <cellStyle name="20% - Accent1 7" xfId="103"/>
    <cellStyle name="20% - Accent1 8" xfId="104"/>
    <cellStyle name="20% - Accent1 9" xfId="105"/>
    <cellStyle name="20% - Accent2" xfId="106" builtinId="34" customBuiltin="1"/>
    <cellStyle name="20% - Accent2 10" xfId="107"/>
    <cellStyle name="20% - Accent2 11" xfId="108"/>
    <cellStyle name="20% - Accent2 12" xfId="109"/>
    <cellStyle name="20% - Accent2 13" xfId="110"/>
    <cellStyle name="20% - Accent2 14" xfId="111"/>
    <cellStyle name="20% - Accent2 15" xfId="112"/>
    <cellStyle name="20% - Accent2 16" xfId="113"/>
    <cellStyle name="20% - Accent2 17" xfId="114"/>
    <cellStyle name="20% - Accent2 18" xfId="115"/>
    <cellStyle name="20% - Accent2 19" xfId="116"/>
    <cellStyle name="20% - Accent2 2" xfId="117"/>
    <cellStyle name="20% - Accent2 2 10" xfId="118"/>
    <cellStyle name="20% - Accent2 2 11" xfId="119"/>
    <cellStyle name="20% - Accent2 2 12" xfId="120"/>
    <cellStyle name="20% - Accent2 2 13" xfId="121"/>
    <cellStyle name="20% - Accent2 2 14" xfId="122"/>
    <cellStyle name="20% - Accent2 2 15" xfId="123"/>
    <cellStyle name="20% - Accent2 2 16" xfId="124"/>
    <cellStyle name="20% - Accent2 2 17" xfId="125"/>
    <cellStyle name="20% - Accent2 2 18" xfId="126"/>
    <cellStyle name="20% - Accent2 2 19" xfId="127"/>
    <cellStyle name="20% - Accent2 2 2" xfId="128"/>
    <cellStyle name="20% - Accent2 2 3" xfId="129"/>
    <cellStyle name="20% - Accent2 2 4" xfId="130"/>
    <cellStyle name="20% - Accent2 2 5" xfId="131"/>
    <cellStyle name="20% - Accent2 2 6" xfId="132"/>
    <cellStyle name="20% - Accent2 2 7" xfId="133"/>
    <cellStyle name="20% - Accent2 2 8" xfId="134"/>
    <cellStyle name="20% - Accent2 2 9" xfId="135"/>
    <cellStyle name="20% - Accent2 20" xfId="136"/>
    <cellStyle name="20% - Accent2 21" xfId="137"/>
    <cellStyle name="20% - Accent2 22" xfId="138"/>
    <cellStyle name="20% - Accent2 23" xfId="139"/>
    <cellStyle name="20% - Accent2 24" xfId="140"/>
    <cellStyle name="20% - Accent2 25" xfId="141"/>
    <cellStyle name="20% - Accent2 26" xfId="142"/>
    <cellStyle name="20% - Accent2 27" xfId="143"/>
    <cellStyle name="20% - Accent2 28" xfId="144"/>
    <cellStyle name="20% - Accent2 29" xfId="145"/>
    <cellStyle name="20% - Accent2 3" xfId="146"/>
    <cellStyle name="20% - Accent2 3 10" xfId="147"/>
    <cellStyle name="20% - Accent2 3 11" xfId="148"/>
    <cellStyle name="20% - Accent2 3 12" xfId="149"/>
    <cellStyle name="20% - Accent2 3 13" xfId="150"/>
    <cellStyle name="20% - Accent2 3 14" xfId="151"/>
    <cellStyle name="20% - Accent2 3 15" xfId="152"/>
    <cellStyle name="20% - Accent2 3 16" xfId="153"/>
    <cellStyle name="20% - Accent2 3 17" xfId="154"/>
    <cellStyle name="20% - Accent2 3 18" xfId="155"/>
    <cellStyle name="20% - Accent2 3 19" xfId="156"/>
    <cellStyle name="20% - Accent2 3 2" xfId="157"/>
    <cellStyle name="20% - Accent2 3 3" xfId="158"/>
    <cellStyle name="20% - Accent2 3 4" xfId="159"/>
    <cellStyle name="20% - Accent2 3 5" xfId="160"/>
    <cellStyle name="20% - Accent2 3 6" xfId="161"/>
    <cellStyle name="20% - Accent2 3 7" xfId="162"/>
    <cellStyle name="20% - Accent2 3 8" xfId="163"/>
    <cellStyle name="20% - Accent2 3 9" xfId="164"/>
    <cellStyle name="20% - Accent2 30" xfId="165"/>
    <cellStyle name="20% - Accent2 31" xfId="166"/>
    <cellStyle name="20% - Accent2 32" xfId="167"/>
    <cellStyle name="20% - Accent2 33" xfId="168"/>
    <cellStyle name="20% - Accent2 34" xfId="169"/>
    <cellStyle name="20% - Accent2 35" xfId="170"/>
    <cellStyle name="20% - Accent2 36" xfId="171"/>
    <cellStyle name="20% - Accent2 37" xfId="172"/>
    <cellStyle name="20% - Accent2 38" xfId="173"/>
    <cellStyle name="20% - Accent2 39" xfId="174"/>
    <cellStyle name="20% - Accent2 4" xfId="175"/>
    <cellStyle name="20% - Accent2 4 10" xfId="176"/>
    <cellStyle name="20% - Accent2 4 11" xfId="177"/>
    <cellStyle name="20% - Accent2 4 12" xfId="178"/>
    <cellStyle name="20% - Accent2 4 13" xfId="179"/>
    <cellStyle name="20% - Accent2 4 14" xfId="180"/>
    <cellStyle name="20% - Accent2 4 15" xfId="181"/>
    <cellStyle name="20% - Accent2 4 16" xfId="182"/>
    <cellStyle name="20% - Accent2 4 17" xfId="183"/>
    <cellStyle name="20% - Accent2 4 18" xfId="184"/>
    <cellStyle name="20% - Accent2 4 19" xfId="185"/>
    <cellStyle name="20% - Accent2 4 2" xfId="186"/>
    <cellStyle name="20% - Accent2 4 3" xfId="187"/>
    <cellStyle name="20% - Accent2 4 4" xfId="188"/>
    <cellStyle name="20% - Accent2 4 5" xfId="189"/>
    <cellStyle name="20% - Accent2 4 6" xfId="190"/>
    <cellStyle name="20% - Accent2 4 7" xfId="191"/>
    <cellStyle name="20% - Accent2 4 8" xfId="192"/>
    <cellStyle name="20% - Accent2 4 9" xfId="193"/>
    <cellStyle name="20% - Accent2 40" xfId="194"/>
    <cellStyle name="20% - Accent2 41" xfId="195"/>
    <cellStyle name="20% - Accent2 42" xfId="196"/>
    <cellStyle name="20% - Accent2 43" xfId="197"/>
    <cellStyle name="20% - Accent2 44" xfId="198"/>
    <cellStyle name="20% - Accent2 45" xfId="199"/>
    <cellStyle name="20% - Accent2 46" xfId="200"/>
    <cellStyle name="20% - Accent2 47" xfId="201"/>
    <cellStyle name="20% - Accent2 48" xfId="202"/>
    <cellStyle name="20% - Accent2 49" xfId="203"/>
    <cellStyle name="20% - Accent2 5" xfId="204"/>
    <cellStyle name="20% - Accent2 50" xfId="205"/>
    <cellStyle name="20% - Accent2 6" xfId="206"/>
    <cellStyle name="20% - Accent2 7" xfId="207"/>
    <cellStyle name="20% - Accent2 8" xfId="208"/>
    <cellStyle name="20% - Accent2 9" xfId="209"/>
    <cellStyle name="20% - Accent3" xfId="210" builtinId="38" customBuiltin="1"/>
    <cellStyle name="20% - Accent3 10" xfId="211"/>
    <cellStyle name="20% - Accent3 11" xfId="212"/>
    <cellStyle name="20% - Accent3 12" xfId="213"/>
    <cellStyle name="20% - Accent3 13" xfId="214"/>
    <cellStyle name="20% - Accent3 14" xfId="215"/>
    <cellStyle name="20% - Accent3 15" xfId="216"/>
    <cellStyle name="20% - Accent3 16" xfId="217"/>
    <cellStyle name="20% - Accent3 17" xfId="218"/>
    <cellStyle name="20% - Accent3 18" xfId="219"/>
    <cellStyle name="20% - Accent3 19" xfId="220"/>
    <cellStyle name="20% - Accent3 2" xfId="221"/>
    <cellStyle name="20% - Accent3 2 10" xfId="222"/>
    <cellStyle name="20% - Accent3 2 11" xfId="223"/>
    <cellStyle name="20% - Accent3 2 12" xfId="224"/>
    <cellStyle name="20% - Accent3 2 13" xfId="225"/>
    <cellStyle name="20% - Accent3 2 14" xfId="226"/>
    <cellStyle name="20% - Accent3 2 15" xfId="227"/>
    <cellStyle name="20% - Accent3 2 16" xfId="228"/>
    <cellStyle name="20% - Accent3 2 17" xfId="229"/>
    <cellStyle name="20% - Accent3 2 18" xfId="230"/>
    <cellStyle name="20% - Accent3 2 19" xfId="231"/>
    <cellStyle name="20% - Accent3 2 2" xfId="232"/>
    <cellStyle name="20% - Accent3 2 3" xfId="233"/>
    <cellStyle name="20% - Accent3 2 4" xfId="234"/>
    <cellStyle name="20% - Accent3 2 5" xfId="235"/>
    <cellStyle name="20% - Accent3 2 6" xfId="236"/>
    <cellStyle name="20% - Accent3 2 7" xfId="237"/>
    <cellStyle name="20% - Accent3 2 8" xfId="238"/>
    <cellStyle name="20% - Accent3 2 9" xfId="239"/>
    <cellStyle name="20% - Accent3 20" xfId="240"/>
    <cellStyle name="20% - Accent3 21" xfId="241"/>
    <cellStyle name="20% - Accent3 22" xfId="242"/>
    <cellStyle name="20% - Accent3 23" xfId="243"/>
    <cellStyle name="20% - Accent3 24" xfId="244"/>
    <cellStyle name="20% - Accent3 25" xfId="245"/>
    <cellStyle name="20% - Accent3 26" xfId="246"/>
    <cellStyle name="20% - Accent3 27" xfId="247"/>
    <cellStyle name="20% - Accent3 28" xfId="248"/>
    <cellStyle name="20% - Accent3 29" xfId="249"/>
    <cellStyle name="20% - Accent3 3" xfId="250"/>
    <cellStyle name="20% - Accent3 3 10" xfId="251"/>
    <cellStyle name="20% - Accent3 3 11" xfId="252"/>
    <cellStyle name="20% - Accent3 3 12" xfId="253"/>
    <cellStyle name="20% - Accent3 3 13" xfId="254"/>
    <cellStyle name="20% - Accent3 3 14" xfId="255"/>
    <cellStyle name="20% - Accent3 3 15" xfId="256"/>
    <cellStyle name="20% - Accent3 3 16" xfId="257"/>
    <cellStyle name="20% - Accent3 3 17" xfId="258"/>
    <cellStyle name="20% - Accent3 3 18" xfId="259"/>
    <cellStyle name="20% - Accent3 3 19" xfId="260"/>
    <cellStyle name="20% - Accent3 3 2" xfId="261"/>
    <cellStyle name="20% - Accent3 3 3" xfId="262"/>
    <cellStyle name="20% - Accent3 3 4" xfId="263"/>
    <cellStyle name="20% - Accent3 3 5" xfId="264"/>
    <cellStyle name="20% - Accent3 3 6" xfId="265"/>
    <cellStyle name="20% - Accent3 3 7" xfId="266"/>
    <cellStyle name="20% - Accent3 3 8" xfId="267"/>
    <cellStyle name="20% - Accent3 3 9" xfId="268"/>
    <cellStyle name="20% - Accent3 30" xfId="269"/>
    <cellStyle name="20% - Accent3 31" xfId="270"/>
    <cellStyle name="20% - Accent3 32" xfId="271"/>
    <cellStyle name="20% - Accent3 33" xfId="272"/>
    <cellStyle name="20% - Accent3 34" xfId="273"/>
    <cellStyle name="20% - Accent3 35" xfId="274"/>
    <cellStyle name="20% - Accent3 36" xfId="275"/>
    <cellStyle name="20% - Accent3 37" xfId="276"/>
    <cellStyle name="20% - Accent3 38" xfId="277"/>
    <cellStyle name="20% - Accent3 39" xfId="278"/>
    <cellStyle name="20% - Accent3 4" xfId="279"/>
    <cellStyle name="20% - Accent3 4 10" xfId="280"/>
    <cellStyle name="20% - Accent3 4 11" xfId="281"/>
    <cellStyle name="20% - Accent3 4 12" xfId="282"/>
    <cellStyle name="20% - Accent3 4 13" xfId="283"/>
    <cellStyle name="20% - Accent3 4 14" xfId="284"/>
    <cellStyle name="20% - Accent3 4 15" xfId="285"/>
    <cellStyle name="20% - Accent3 4 16" xfId="286"/>
    <cellStyle name="20% - Accent3 4 17" xfId="287"/>
    <cellStyle name="20% - Accent3 4 18" xfId="288"/>
    <cellStyle name="20% - Accent3 4 19" xfId="289"/>
    <cellStyle name="20% - Accent3 4 2" xfId="290"/>
    <cellStyle name="20% - Accent3 4 3" xfId="291"/>
    <cellStyle name="20% - Accent3 4 4" xfId="292"/>
    <cellStyle name="20% - Accent3 4 5" xfId="293"/>
    <cellStyle name="20% - Accent3 4 6" xfId="294"/>
    <cellStyle name="20% - Accent3 4 7" xfId="295"/>
    <cellStyle name="20% - Accent3 4 8" xfId="296"/>
    <cellStyle name="20% - Accent3 4 9" xfId="297"/>
    <cellStyle name="20% - Accent3 40" xfId="298"/>
    <cellStyle name="20% - Accent3 41" xfId="299"/>
    <cellStyle name="20% - Accent3 42" xfId="300"/>
    <cellStyle name="20% - Accent3 43" xfId="301"/>
    <cellStyle name="20% - Accent3 44" xfId="302"/>
    <cellStyle name="20% - Accent3 45" xfId="303"/>
    <cellStyle name="20% - Accent3 46" xfId="304"/>
    <cellStyle name="20% - Accent3 47" xfId="305"/>
    <cellStyle name="20% - Accent3 48" xfId="306"/>
    <cellStyle name="20% - Accent3 49" xfId="307"/>
    <cellStyle name="20% - Accent3 5" xfId="308"/>
    <cellStyle name="20% - Accent3 50" xfId="309"/>
    <cellStyle name="20% - Accent3 6" xfId="310"/>
    <cellStyle name="20% - Accent3 7" xfId="311"/>
    <cellStyle name="20% - Accent3 8" xfId="312"/>
    <cellStyle name="20% - Accent3 9" xfId="313"/>
    <cellStyle name="20% - Accent4" xfId="314" builtinId="42" customBuiltin="1"/>
    <cellStyle name="20% - Accent4 10" xfId="315"/>
    <cellStyle name="20% - Accent4 11" xfId="316"/>
    <cellStyle name="20% - Accent4 12" xfId="317"/>
    <cellStyle name="20% - Accent4 13" xfId="318"/>
    <cellStyle name="20% - Accent4 14" xfId="319"/>
    <cellStyle name="20% - Accent4 15" xfId="320"/>
    <cellStyle name="20% - Accent4 16" xfId="321"/>
    <cellStyle name="20% - Accent4 17" xfId="322"/>
    <cellStyle name="20% - Accent4 18" xfId="323"/>
    <cellStyle name="20% - Accent4 19" xfId="324"/>
    <cellStyle name="20% - Accent4 2" xfId="325"/>
    <cellStyle name="20% - Accent4 2 10" xfId="326"/>
    <cellStyle name="20% - Accent4 2 11" xfId="327"/>
    <cellStyle name="20% - Accent4 2 12" xfId="328"/>
    <cellStyle name="20% - Accent4 2 13" xfId="329"/>
    <cellStyle name="20% - Accent4 2 14" xfId="330"/>
    <cellStyle name="20% - Accent4 2 15" xfId="331"/>
    <cellStyle name="20% - Accent4 2 16" xfId="332"/>
    <cellStyle name="20% - Accent4 2 17" xfId="333"/>
    <cellStyle name="20% - Accent4 2 18" xfId="334"/>
    <cellStyle name="20% - Accent4 2 19" xfId="335"/>
    <cellStyle name="20% - Accent4 2 2" xfId="336"/>
    <cellStyle name="20% - Accent4 2 3" xfId="337"/>
    <cellStyle name="20% - Accent4 2 4" xfId="338"/>
    <cellStyle name="20% - Accent4 2 5" xfId="339"/>
    <cellStyle name="20% - Accent4 2 6" xfId="340"/>
    <cellStyle name="20% - Accent4 2 7" xfId="341"/>
    <cellStyle name="20% - Accent4 2 8" xfId="342"/>
    <cellStyle name="20% - Accent4 2 9" xfId="343"/>
    <cellStyle name="20% - Accent4 20" xfId="344"/>
    <cellStyle name="20% - Accent4 21" xfId="345"/>
    <cellStyle name="20% - Accent4 22" xfId="346"/>
    <cellStyle name="20% - Accent4 23" xfId="347"/>
    <cellStyle name="20% - Accent4 24" xfId="348"/>
    <cellStyle name="20% - Accent4 25" xfId="349"/>
    <cellStyle name="20% - Accent4 26" xfId="350"/>
    <cellStyle name="20% - Accent4 27" xfId="351"/>
    <cellStyle name="20% - Accent4 28" xfId="352"/>
    <cellStyle name="20% - Accent4 29" xfId="353"/>
    <cellStyle name="20% - Accent4 3" xfId="354"/>
    <cellStyle name="20% - Accent4 3 10" xfId="355"/>
    <cellStyle name="20% - Accent4 3 11" xfId="356"/>
    <cellStyle name="20% - Accent4 3 12" xfId="357"/>
    <cellStyle name="20% - Accent4 3 13" xfId="358"/>
    <cellStyle name="20% - Accent4 3 14" xfId="359"/>
    <cellStyle name="20% - Accent4 3 15" xfId="360"/>
    <cellStyle name="20% - Accent4 3 16" xfId="361"/>
    <cellStyle name="20% - Accent4 3 17" xfId="362"/>
    <cellStyle name="20% - Accent4 3 18" xfId="363"/>
    <cellStyle name="20% - Accent4 3 19" xfId="364"/>
    <cellStyle name="20% - Accent4 3 2" xfId="365"/>
    <cellStyle name="20% - Accent4 3 3" xfId="366"/>
    <cellStyle name="20% - Accent4 3 4" xfId="367"/>
    <cellStyle name="20% - Accent4 3 5" xfId="368"/>
    <cellStyle name="20% - Accent4 3 6" xfId="369"/>
    <cellStyle name="20% - Accent4 3 7" xfId="370"/>
    <cellStyle name="20% - Accent4 3 8" xfId="371"/>
    <cellStyle name="20% - Accent4 3 9" xfId="372"/>
    <cellStyle name="20% - Accent4 30" xfId="373"/>
    <cellStyle name="20% - Accent4 31" xfId="374"/>
    <cellStyle name="20% - Accent4 32" xfId="375"/>
    <cellStyle name="20% - Accent4 33" xfId="376"/>
    <cellStyle name="20% - Accent4 34" xfId="377"/>
    <cellStyle name="20% - Accent4 35" xfId="378"/>
    <cellStyle name="20% - Accent4 36" xfId="379"/>
    <cellStyle name="20% - Accent4 37" xfId="380"/>
    <cellStyle name="20% - Accent4 38" xfId="381"/>
    <cellStyle name="20% - Accent4 39" xfId="382"/>
    <cellStyle name="20% - Accent4 4" xfId="383"/>
    <cellStyle name="20% - Accent4 4 10" xfId="384"/>
    <cellStyle name="20% - Accent4 4 11" xfId="385"/>
    <cellStyle name="20% - Accent4 4 12" xfId="386"/>
    <cellStyle name="20% - Accent4 4 13" xfId="387"/>
    <cellStyle name="20% - Accent4 4 14" xfId="388"/>
    <cellStyle name="20% - Accent4 4 15" xfId="389"/>
    <cellStyle name="20% - Accent4 4 16" xfId="390"/>
    <cellStyle name="20% - Accent4 4 17" xfId="391"/>
    <cellStyle name="20% - Accent4 4 18" xfId="392"/>
    <cellStyle name="20% - Accent4 4 19" xfId="393"/>
    <cellStyle name="20% - Accent4 4 2" xfId="394"/>
    <cellStyle name="20% - Accent4 4 3" xfId="395"/>
    <cellStyle name="20% - Accent4 4 4" xfId="396"/>
    <cellStyle name="20% - Accent4 4 5" xfId="397"/>
    <cellStyle name="20% - Accent4 4 6" xfId="398"/>
    <cellStyle name="20% - Accent4 4 7" xfId="399"/>
    <cellStyle name="20% - Accent4 4 8" xfId="400"/>
    <cellStyle name="20% - Accent4 4 9" xfId="401"/>
    <cellStyle name="20% - Accent4 40" xfId="402"/>
    <cellStyle name="20% - Accent4 41" xfId="403"/>
    <cellStyle name="20% - Accent4 42" xfId="404"/>
    <cellStyle name="20% - Accent4 43" xfId="405"/>
    <cellStyle name="20% - Accent4 44" xfId="406"/>
    <cellStyle name="20% - Accent4 45" xfId="407"/>
    <cellStyle name="20% - Accent4 46" xfId="408"/>
    <cellStyle name="20% - Accent4 47" xfId="409"/>
    <cellStyle name="20% - Accent4 48" xfId="410"/>
    <cellStyle name="20% - Accent4 49" xfId="411"/>
    <cellStyle name="20% - Accent4 5" xfId="412"/>
    <cellStyle name="20% - Accent4 50" xfId="413"/>
    <cellStyle name="20% - Accent4 6" xfId="414"/>
    <cellStyle name="20% - Accent4 7" xfId="415"/>
    <cellStyle name="20% - Accent4 8" xfId="416"/>
    <cellStyle name="20% - Accent4 9" xfId="417"/>
    <cellStyle name="20% - Accent5" xfId="418" builtinId="46" customBuiltin="1"/>
    <cellStyle name="20% - Accent5 10" xfId="419"/>
    <cellStyle name="20% - Accent5 11" xfId="420"/>
    <cellStyle name="20% - Accent5 12" xfId="421"/>
    <cellStyle name="20% - Accent5 13" xfId="422"/>
    <cellStyle name="20% - Accent5 14" xfId="423"/>
    <cellStyle name="20% - Accent5 15" xfId="424"/>
    <cellStyle name="20% - Accent5 16" xfId="425"/>
    <cellStyle name="20% - Accent5 17" xfId="426"/>
    <cellStyle name="20% - Accent5 18" xfId="427"/>
    <cellStyle name="20% - Accent5 19" xfId="428"/>
    <cellStyle name="20% - Accent5 2" xfId="429"/>
    <cellStyle name="20% - Accent5 2 10" xfId="430"/>
    <cellStyle name="20% - Accent5 2 11" xfId="431"/>
    <cellStyle name="20% - Accent5 2 12" xfId="432"/>
    <cellStyle name="20% - Accent5 2 13" xfId="433"/>
    <cellStyle name="20% - Accent5 2 14" xfId="434"/>
    <cellStyle name="20% - Accent5 2 15" xfId="435"/>
    <cellStyle name="20% - Accent5 2 16" xfId="436"/>
    <cellStyle name="20% - Accent5 2 17" xfId="437"/>
    <cellStyle name="20% - Accent5 2 18" xfId="438"/>
    <cellStyle name="20% - Accent5 2 19" xfId="439"/>
    <cellStyle name="20% - Accent5 2 2" xfId="440"/>
    <cellStyle name="20% - Accent5 2 3" xfId="441"/>
    <cellStyle name="20% - Accent5 2 4" xfId="442"/>
    <cellStyle name="20% - Accent5 2 5" xfId="443"/>
    <cellStyle name="20% - Accent5 2 6" xfId="444"/>
    <cellStyle name="20% - Accent5 2 7" xfId="445"/>
    <cellStyle name="20% - Accent5 2 8" xfId="446"/>
    <cellStyle name="20% - Accent5 2 9" xfId="447"/>
    <cellStyle name="20% - Accent5 20" xfId="448"/>
    <cellStyle name="20% - Accent5 21" xfId="449"/>
    <cellStyle name="20% - Accent5 22" xfId="450"/>
    <cellStyle name="20% - Accent5 23" xfId="451"/>
    <cellStyle name="20% - Accent5 24" xfId="452"/>
    <cellStyle name="20% - Accent5 25" xfId="453"/>
    <cellStyle name="20% - Accent5 26" xfId="454"/>
    <cellStyle name="20% - Accent5 27" xfId="455"/>
    <cellStyle name="20% - Accent5 28" xfId="456"/>
    <cellStyle name="20% - Accent5 29" xfId="457"/>
    <cellStyle name="20% - Accent5 3" xfId="458"/>
    <cellStyle name="20% - Accent5 3 10" xfId="459"/>
    <cellStyle name="20% - Accent5 3 11" xfId="460"/>
    <cellStyle name="20% - Accent5 3 12" xfId="461"/>
    <cellStyle name="20% - Accent5 3 13" xfId="462"/>
    <cellStyle name="20% - Accent5 3 14" xfId="463"/>
    <cellStyle name="20% - Accent5 3 15" xfId="464"/>
    <cellStyle name="20% - Accent5 3 16" xfId="465"/>
    <cellStyle name="20% - Accent5 3 17" xfId="466"/>
    <cellStyle name="20% - Accent5 3 18" xfId="467"/>
    <cellStyle name="20% - Accent5 3 19" xfId="468"/>
    <cellStyle name="20% - Accent5 3 2" xfId="469"/>
    <cellStyle name="20% - Accent5 3 3" xfId="470"/>
    <cellStyle name="20% - Accent5 3 4" xfId="471"/>
    <cellStyle name="20% - Accent5 3 5" xfId="472"/>
    <cellStyle name="20% - Accent5 3 6" xfId="473"/>
    <cellStyle name="20% - Accent5 3 7" xfId="474"/>
    <cellStyle name="20% - Accent5 3 8" xfId="475"/>
    <cellStyle name="20% - Accent5 3 9" xfId="476"/>
    <cellStyle name="20% - Accent5 30" xfId="477"/>
    <cellStyle name="20% - Accent5 31" xfId="478"/>
    <cellStyle name="20% - Accent5 32" xfId="479"/>
    <cellStyle name="20% - Accent5 33" xfId="480"/>
    <cellStyle name="20% - Accent5 34" xfId="481"/>
    <cellStyle name="20% - Accent5 35" xfId="482"/>
    <cellStyle name="20% - Accent5 36" xfId="483"/>
    <cellStyle name="20% - Accent5 37" xfId="484"/>
    <cellStyle name="20% - Accent5 38" xfId="485"/>
    <cellStyle name="20% - Accent5 39" xfId="486"/>
    <cellStyle name="20% - Accent5 4" xfId="487"/>
    <cellStyle name="20% - Accent5 4 10" xfId="488"/>
    <cellStyle name="20% - Accent5 4 11" xfId="489"/>
    <cellStyle name="20% - Accent5 4 12" xfId="490"/>
    <cellStyle name="20% - Accent5 4 13" xfId="491"/>
    <cellStyle name="20% - Accent5 4 14" xfId="492"/>
    <cellStyle name="20% - Accent5 4 15" xfId="493"/>
    <cellStyle name="20% - Accent5 4 16" xfId="494"/>
    <cellStyle name="20% - Accent5 4 17" xfId="495"/>
    <cellStyle name="20% - Accent5 4 18" xfId="496"/>
    <cellStyle name="20% - Accent5 4 19" xfId="497"/>
    <cellStyle name="20% - Accent5 4 2" xfId="498"/>
    <cellStyle name="20% - Accent5 4 3" xfId="499"/>
    <cellStyle name="20% - Accent5 4 4" xfId="500"/>
    <cellStyle name="20% - Accent5 4 5" xfId="501"/>
    <cellStyle name="20% - Accent5 4 6" xfId="502"/>
    <cellStyle name="20% - Accent5 4 7" xfId="503"/>
    <cellStyle name="20% - Accent5 4 8" xfId="504"/>
    <cellStyle name="20% - Accent5 4 9" xfId="505"/>
    <cellStyle name="20% - Accent5 40" xfId="506"/>
    <cellStyle name="20% - Accent5 41" xfId="507"/>
    <cellStyle name="20% - Accent5 42" xfId="508"/>
    <cellStyle name="20% - Accent5 43" xfId="509"/>
    <cellStyle name="20% - Accent5 44" xfId="510"/>
    <cellStyle name="20% - Accent5 45" xfId="511"/>
    <cellStyle name="20% - Accent5 46" xfId="512"/>
    <cellStyle name="20% - Accent5 47" xfId="513"/>
    <cellStyle name="20% - Accent5 48" xfId="514"/>
    <cellStyle name="20% - Accent5 49" xfId="515"/>
    <cellStyle name="20% - Accent5 5" xfId="516"/>
    <cellStyle name="20% - Accent5 50" xfId="517"/>
    <cellStyle name="20% - Accent5 6" xfId="518"/>
    <cellStyle name="20% - Accent5 7" xfId="519"/>
    <cellStyle name="20% - Accent5 8" xfId="520"/>
    <cellStyle name="20% - Accent5 9" xfId="521"/>
    <cellStyle name="20% - Accent6" xfId="522" builtinId="50" customBuiltin="1"/>
    <cellStyle name="20% - Accent6 10" xfId="523"/>
    <cellStyle name="20% - Accent6 11" xfId="524"/>
    <cellStyle name="20% - Accent6 12" xfId="525"/>
    <cellStyle name="20% - Accent6 13" xfId="526"/>
    <cellStyle name="20% - Accent6 14" xfId="527"/>
    <cellStyle name="20% - Accent6 15" xfId="528"/>
    <cellStyle name="20% - Accent6 16" xfId="529"/>
    <cellStyle name="20% - Accent6 17" xfId="530"/>
    <cellStyle name="20% - Accent6 18" xfId="531"/>
    <cellStyle name="20% - Accent6 19" xfId="532"/>
    <cellStyle name="20% - Accent6 2" xfId="533"/>
    <cellStyle name="20% - Accent6 2 10" xfId="534"/>
    <cellStyle name="20% - Accent6 2 11" xfId="535"/>
    <cellStyle name="20% - Accent6 2 12" xfId="536"/>
    <cellStyle name="20% - Accent6 2 13" xfId="537"/>
    <cellStyle name="20% - Accent6 2 14" xfId="538"/>
    <cellStyle name="20% - Accent6 2 15" xfId="539"/>
    <cellStyle name="20% - Accent6 2 16" xfId="540"/>
    <cellStyle name="20% - Accent6 2 17" xfId="541"/>
    <cellStyle name="20% - Accent6 2 18" xfId="542"/>
    <cellStyle name="20% - Accent6 2 19" xfId="543"/>
    <cellStyle name="20% - Accent6 2 2" xfId="544"/>
    <cellStyle name="20% - Accent6 2 3" xfId="545"/>
    <cellStyle name="20% - Accent6 2 4" xfId="546"/>
    <cellStyle name="20% - Accent6 2 5" xfId="547"/>
    <cellStyle name="20% - Accent6 2 6" xfId="548"/>
    <cellStyle name="20% - Accent6 2 7" xfId="549"/>
    <cellStyle name="20% - Accent6 2 8" xfId="550"/>
    <cellStyle name="20% - Accent6 2 9" xfId="551"/>
    <cellStyle name="20% - Accent6 20" xfId="552"/>
    <cellStyle name="20% - Accent6 21" xfId="553"/>
    <cellStyle name="20% - Accent6 22" xfId="554"/>
    <cellStyle name="20% - Accent6 23" xfId="555"/>
    <cellStyle name="20% - Accent6 24" xfId="556"/>
    <cellStyle name="20% - Accent6 25" xfId="557"/>
    <cellStyle name="20% - Accent6 26" xfId="558"/>
    <cellStyle name="20% - Accent6 27" xfId="559"/>
    <cellStyle name="20% - Accent6 28" xfId="560"/>
    <cellStyle name="20% - Accent6 29" xfId="561"/>
    <cellStyle name="20% - Accent6 3" xfId="562"/>
    <cellStyle name="20% - Accent6 3 10" xfId="563"/>
    <cellStyle name="20% - Accent6 3 11" xfId="564"/>
    <cellStyle name="20% - Accent6 3 12" xfId="565"/>
    <cellStyle name="20% - Accent6 3 13" xfId="566"/>
    <cellStyle name="20% - Accent6 3 14" xfId="567"/>
    <cellStyle name="20% - Accent6 3 15" xfId="568"/>
    <cellStyle name="20% - Accent6 3 16" xfId="569"/>
    <cellStyle name="20% - Accent6 3 17" xfId="570"/>
    <cellStyle name="20% - Accent6 3 18" xfId="571"/>
    <cellStyle name="20% - Accent6 3 19" xfId="572"/>
    <cellStyle name="20% - Accent6 3 2" xfId="573"/>
    <cellStyle name="20% - Accent6 3 3" xfId="574"/>
    <cellStyle name="20% - Accent6 3 4" xfId="575"/>
    <cellStyle name="20% - Accent6 3 5" xfId="576"/>
    <cellStyle name="20% - Accent6 3 6" xfId="577"/>
    <cellStyle name="20% - Accent6 3 7" xfId="578"/>
    <cellStyle name="20% - Accent6 3 8" xfId="579"/>
    <cellStyle name="20% - Accent6 3 9" xfId="580"/>
    <cellStyle name="20% - Accent6 30" xfId="581"/>
    <cellStyle name="20% - Accent6 31" xfId="582"/>
    <cellStyle name="20% - Accent6 32" xfId="583"/>
    <cellStyle name="20% - Accent6 33" xfId="584"/>
    <cellStyle name="20% - Accent6 34" xfId="585"/>
    <cellStyle name="20% - Accent6 35" xfId="586"/>
    <cellStyle name="20% - Accent6 36" xfId="587"/>
    <cellStyle name="20% - Accent6 37" xfId="588"/>
    <cellStyle name="20% - Accent6 38" xfId="589"/>
    <cellStyle name="20% - Accent6 39" xfId="590"/>
    <cellStyle name="20% - Accent6 4" xfId="591"/>
    <cellStyle name="20% - Accent6 4 10" xfId="592"/>
    <cellStyle name="20% - Accent6 4 11" xfId="593"/>
    <cellStyle name="20% - Accent6 4 12" xfId="594"/>
    <cellStyle name="20% - Accent6 4 13" xfId="595"/>
    <cellStyle name="20% - Accent6 4 14" xfId="596"/>
    <cellStyle name="20% - Accent6 4 15" xfId="597"/>
    <cellStyle name="20% - Accent6 4 16" xfId="598"/>
    <cellStyle name="20% - Accent6 4 17" xfId="599"/>
    <cellStyle name="20% - Accent6 4 18" xfId="600"/>
    <cellStyle name="20% - Accent6 4 19" xfId="601"/>
    <cellStyle name="20% - Accent6 4 2" xfId="602"/>
    <cellStyle name="20% - Accent6 4 3" xfId="603"/>
    <cellStyle name="20% - Accent6 4 4" xfId="604"/>
    <cellStyle name="20% - Accent6 4 5" xfId="605"/>
    <cellStyle name="20% - Accent6 4 6" xfId="606"/>
    <cellStyle name="20% - Accent6 4 7" xfId="607"/>
    <cellStyle name="20% - Accent6 4 8" xfId="608"/>
    <cellStyle name="20% - Accent6 4 9" xfId="609"/>
    <cellStyle name="20% - Accent6 40" xfId="610"/>
    <cellStyle name="20% - Accent6 41" xfId="611"/>
    <cellStyle name="20% - Accent6 42" xfId="612"/>
    <cellStyle name="20% - Accent6 43" xfId="613"/>
    <cellStyle name="20% - Accent6 44" xfId="614"/>
    <cellStyle name="20% - Accent6 45" xfId="615"/>
    <cellStyle name="20% - Accent6 46" xfId="616"/>
    <cellStyle name="20% - Accent6 47" xfId="617"/>
    <cellStyle name="20% - Accent6 48" xfId="618"/>
    <cellStyle name="20% - Accent6 49" xfId="619"/>
    <cellStyle name="20% - Accent6 5" xfId="620"/>
    <cellStyle name="20% - Accent6 50" xfId="621"/>
    <cellStyle name="20% - Accent6 6" xfId="622"/>
    <cellStyle name="20% - Accent6 7" xfId="623"/>
    <cellStyle name="20% - Accent6 8" xfId="624"/>
    <cellStyle name="20% - Accent6 9" xfId="625"/>
    <cellStyle name="40% - Accent1" xfId="626" builtinId="31" customBuiltin="1"/>
    <cellStyle name="40% - Accent1 10" xfId="627"/>
    <cellStyle name="40% - Accent1 11" xfId="628"/>
    <cellStyle name="40% - Accent1 12" xfId="629"/>
    <cellStyle name="40% - Accent1 13" xfId="630"/>
    <cellStyle name="40% - Accent1 14" xfId="631"/>
    <cellStyle name="40% - Accent1 15" xfId="632"/>
    <cellStyle name="40% - Accent1 16" xfId="633"/>
    <cellStyle name="40% - Accent1 17" xfId="634"/>
    <cellStyle name="40% - Accent1 18" xfId="635"/>
    <cellStyle name="40% - Accent1 19" xfId="636"/>
    <cellStyle name="40% - Accent1 2" xfId="637"/>
    <cellStyle name="40% - Accent1 2 10" xfId="638"/>
    <cellStyle name="40% - Accent1 2 11" xfId="639"/>
    <cellStyle name="40% - Accent1 2 12" xfId="640"/>
    <cellStyle name="40% - Accent1 2 13" xfId="641"/>
    <cellStyle name="40% - Accent1 2 14" xfId="642"/>
    <cellStyle name="40% - Accent1 2 15" xfId="643"/>
    <cellStyle name="40% - Accent1 2 16" xfId="644"/>
    <cellStyle name="40% - Accent1 2 17" xfId="645"/>
    <cellStyle name="40% - Accent1 2 18" xfId="646"/>
    <cellStyle name="40% - Accent1 2 19" xfId="647"/>
    <cellStyle name="40% - Accent1 2 2" xfId="648"/>
    <cellStyle name="40% - Accent1 2 3" xfId="649"/>
    <cellStyle name="40% - Accent1 2 4" xfId="650"/>
    <cellStyle name="40% - Accent1 2 5" xfId="651"/>
    <cellStyle name="40% - Accent1 2 6" xfId="652"/>
    <cellStyle name="40% - Accent1 2 7" xfId="653"/>
    <cellStyle name="40% - Accent1 2 8" xfId="654"/>
    <cellStyle name="40% - Accent1 2 9" xfId="655"/>
    <cellStyle name="40% - Accent1 20" xfId="656"/>
    <cellStyle name="40% - Accent1 21" xfId="657"/>
    <cellStyle name="40% - Accent1 22" xfId="658"/>
    <cellStyle name="40% - Accent1 23" xfId="659"/>
    <cellStyle name="40% - Accent1 24" xfId="660"/>
    <cellStyle name="40% - Accent1 25" xfId="661"/>
    <cellStyle name="40% - Accent1 26" xfId="662"/>
    <cellStyle name="40% - Accent1 27" xfId="663"/>
    <cellStyle name="40% - Accent1 28" xfId="664"/>
    <cellStyle name="40% - Accent1 29" xfId="665"/>
    <cellStyle name="40% - Accent1 3" xfId="666"/>
    <cellStyle name="40% - Accent1 3 10" xfId="667"/>
    <cellStyle name="40% - Accent1 3 11" xfId="668"/>
    <cellStyle name="40% - Accent1 3 12" xfId="669"/>
    <cellStyle name="40% - Accent1 3 13" xfId="670"/>
    <cellStyle name="40% - Accent1 3 14" xfId="671"/>
    <cellStyle name="40% - Accent1 3 15" xfId="672"/>
    <cellStyle name="40% - Accent1 3 16" xfId="673"/>
    <cellStyle name="40% - Accent1 3 17" xfId="674"/>
    <cellStyle name="40% - Accent1 3 18" xfId="675"/>
    <cellStyle name="40% - Accent1 3 19" xfId="676"/>
    <cellStyle name="40% - Accent1 3 2" xfId="677"/>
    <cellStyle name="40% - Accent1 3 3" xfId="678"/>
    <cellStyle name="40% - Accent1 3 4" xfId="679"/>
    <cellStyle name="40% - Accent1 3 5" xfId="680"/>
    <cellStyle name="40% - Accent1 3 6" xfId="681"/>
    <cellStyle name="40% - Accent1 3 7" xfId="682"/>
    <cellStyle name="40% - Accent1 3 8" xfId="683"/>
    <cellStyle name="40% - Accent1 3 9" xfId="684"/>
    <cellStyle name="40% - Accent1 30" xfId="685"/>
    <cellStyle name="40% - Accent1 31" xfId="686"/>
    <cellStyle name="40% - Accent1 32" xfId="687"/>
    <cellStyle name="40% - Accent1 33" xfId="688"/>
    <cellStyle name="40% - Accent1 34" xfId="689"/>
    <cellStyle name="40% - Accent1 35" xfId="690"/>
    <cellStyle name="40% - Accent1 36" xfId="691"/>
    <cellStyle name="40% - Accent1 37" xfId="692"/>
    <cellStyle name="40% - Accent1 38" xfId="693"/>
    <cellStyle name="40% - Accent1 39" xfId="694"/>
    <cellStyle name="40% - Accent1 4" xfId="695"/>
    <cellStyle name="40% - Accent1 4 10" xfId="696"/>
    <cellStyle name="40% - Accent1 4 11" xfId="697"/>
    <cellStyle name="40% - Accent1 4 12" xfId="698"/>
    <cellStyle name="40% - Accent1 4 13" xfId="699"/>
    <cellStyle name="40% - Accent1 4 14" xfId="700"/>
    <cellStyle name="40% - Accent1 4 15" xfId="701"/>
    <cellStyle name="40% - Accent1 4 16" xfId="702"/>
    <cellStyle name="40% - Accent1 4 17" xfId="703"/>
    <cellStyle name="40% - Accent1 4 18" xfId="704"/>
    <cellStyle name="40% - Accent1 4 19" xfId="705"/>
    <cellStyle name="40% - Accent1 4 2" xfId="706"/>
    <cellStyle name="40% - Accent1 4 3" xfId="707"/>
    <cellStyle name="40% - Accent1 4 4" xfId="708"/>
    <cellStyle name="40% - Accent1 4 5" xfId="709"/>
    <cellStyle name="40% - Accent1 4 6" xfId="710"/>
    <cellStyle name="40% - Accent1 4 7" xfId="711"/>
    <cellStyle name="40% - Accent1 4 8" xfId="712"/>
    <cellStyle name="40% - Accent1 4 9" xfId="713"/>
    <cellStyle name="40% - Accent1 40" xfId="714"/>
    <cellStyle name="40% - Accent1 41" xfId="715"/>
    <cellStyle name="40% - Accent1 42" xfId="716"/>
    <cellStyle name="40% - Accent1 43" xfId="717"/>
    <cellStyle name="40% - Accent1 44" xfId="718"/>
    <cellStyle name="40% - Accent1 45" xfId="719"/>
    <cellStyle name="40% - Accent1 46" xfId="720"/>
    <cellStyle name="40% - Accent1 47" xfId="721"/>
    <cellStyle name="40% - Accent1 48" xfId="722"/>
    <cellStyle name="40% - Accent1 49" xfId="723"/>
    <cellStyle name="40% - Accent1 5" xfId="724"/>
    <cellStyle name="40% - Accent1 50" xfId="725"/>
    <cellStyle name="40% - Accent1 6" xfId="726"/>
    <cellStyle name="40% - Accent1 7" xfId="727"/>
    <cellStyle name="40% - Accent1 8" xfId="728"/>
    <cellStyle name="40% - Accent1 9" xfId="729"/>
    <cellStyle name="40% - Accent2" xfId="730" builtinId="35" customBuiltin="1"/>
    <cellStyle name="40% - Accent2 10" xfId="731"/>
    <cellStyle name="40% - Accent2 11" xfId="732"/>
    <cellStyle name="40% - Accent2 12" xfId="733"/>
    <cellStyle name="40% - Accent2 13" xfId="734"/>
    <cellStyle name="40% - Accent2 14" xfId="735"/>
    <cellStyle name="40% - Accent2 15" xfId="736"/>
    <cellStyle name="40% - Accent2 16" xfId="737"/>
    <cellStyle name="40% - Accent2 17" xfId="738"/>
    <cellStyle name="40% - Accent2 18" xfId="739"/>
    <cellStyle name="40% - Accent2 19" xfId="740"/>
    <cellStyle name="40% - Accent2 2" xfId="741"/>
    <cellStyle name="40% - Accent2 2 10" xfId="742"/>
    <cellStyle name="40% - Accent2 2 11" xfId="743"/>
    <cellStyle name="40% - Accent2 2 12" xfId="744"/>
    <cellStyle name="40% - Accent2 2 13" xfId="745"/>
    <cellStyle name="40% - Accent2 2 14" xfId="746"/>
    <cellStyle name="40% - Accent2 2 15" xfId="747"/>
    <cellStyle name="40% - Accent2 2 16" xfId="748"/>
    <cellStyle name="40% - Accent2 2 17" xfId="749"/>
    <cellStyle name="40% - Accent2 2 18" xfId="750"/>
    <cellStyle name="40% - Accent2 2 19" xfId="751"/>
    <cellStyle name="40% - Accent2 2 2" xfId="752"/>
    <cellStyle name="40% - Accent2 2 3" xfId="753"/>
    <cellStyle name="40% - Accent2 2 4" xfId="754"/>
    <cellStyle name="40% - Accent2 2 5" xfId="755"/>
    <cellStyle name="40% - Accent2 2 6" xfId="756"/>
    <cellStyle name="40% - Accent2 2 7" xfId="757"/>
    <cellStyle name="40% - Accent2 2 8" xfId="758"/>
    <cellStyle name="40% - Accent2 2 9" xfId="759"/>
    <cellStyle name="40% - Accent2 20" xfId="760"/>
    <cellStyle name="40% - Accent2 21" xfId="761"/>
    <cellStyle name="40% - Accent2 22" xfId="762"/>
    <cellStyle name="40% - Accent2 23" xfId="763"/>
    <cellStyle name="40% - Accent2 24" xfId="764"/>
    <cellStyle name="40% - Accent2 25" xfId="765"/>
    <cellStyle name="40% - Accent2 26" xfId="766"/>
    <cellStyle name="40% - Accent2 27" xfId="767"/>
    <cellStyle name="40% - Accent2 28" xfId="768"/>
    <cellStyle name="40% - Accent2 29" xfId="769"/>
    <cellStyle name="40% - Accent2 3" xfId="770"/>
    <cellStyle name="40% - Accent2 3 10" xfId="771"/>
    <cellStyle name="40% - Accent2 3 11" xfId="772"/>
    <cellStyle name="40% - Accent2 3 12" xfId="773"/>
    <cellStyle name="40% - Accent2 3 13" xfId="774"/>
    <cellStyle name="40% - Accent2 3 14" xfId="775"/>
    <cellStyle name="40% - Accent2 3 15" xfId="776"/>
    <cellStyle name="40% - Accent2 3 16" xfId="777"/>
    <cellStyle name="40% - Accent2 3 17" xfId="778"/>
    <cellStyle name="40% - Accent2 3 18" xfId="779"/>
    <cellStyle name="40% - Accent2 3 19" xfId="780"/>
    <cellStyle name="40% - Accent2 3 2" xfId="781"/>
    <cellStyle name="40% - Accent2 3 3" xfId="782"/>
    <cellStyle name="40% - Accent2 3 4" xfId="783"/>
    <cellStyle name="40% - Accent2 3 5" xfId="784"/>
    <cellStyle name="40% - Accent2 3 6" xfId="785"/>
    <cellStyle name="40% - Accent2 3 7" xfId="786"/>
    <cellStyle name="40% - Accent2 3 8" xfId="787"/>
    <cellStyle name="40% - Accent2 3 9" xfId="788"/>
    <cellStyle name="40% - Accent2 30" xfId="789"/>
    <cellStyle name="40% - Accent2 31" xfId="790"/>
    <cellStyle name="40% - Accent2 32" xfId="791"/>
    <cellStyle name="40% - Accent2 33" xfId="792"/>
    <cellStyle name="40% - Accent2 34" xfId="793"/>
    <cellStyle name="40% - Accent2 35" xfId="794"/>
    <cellStyle name="40% - Accent2 36" xfId="795"/>
    <cellStyle name="40% - Accent2 37" xfId="796"/>
    <cellStyle name="40% - Accent2 38" xfId="797"/>
    <cellStyle name="40% - Accent2 39" xfId="798"/>
    <cellStyle name="40% - Accent2 4" xfId="799"/>
    <cellStyle name="40% - Accent2 4 10" xfId="800"/>
    <cellStyle name="40% - Accent2 4 11" xfId="801"/>
    <cellStyle name="40% - Accent2 4 12" xfId="802"/>
    <cellStyle name="40% - Accent2 4 13" xfId="803"/>
    <cellStyle name="40% - Accent2 4 14" xfId="804"/>
    <cellStyle name="40% - Accent2 4 15" xfId="805"/>
    <cellStyle name="40% - Accent2 4 16" xfId="806"/>
    <cellStyle name="40% - Accent2 4 17" xfId="807"/>
    <cellStyle name="40% - Accent2 4 18" xfId="808"/>
    <cellStyle name="40% - Accent2 4 19" xfId="809"/>
    <cellStyle name="40% - Accent2 4 2" xfId="810"/>
    <cellStyle name="40% - Accent2 4 3" xfId="811"/>
    <cellStyle name="40% - Accent2 4 4" xfId="812"/>
    <cellStyle name="40% - Accent2 4 5" xfId="813"/>
    <cellStyle name="40% - Accent2 4 6" xfId="814"/>
    <cellStyle name="40% - Accent2 4 7" xfId="815"/>
    <cellStyle name="40% - Accent2 4 8" xfId="816"/>
    <cellStyle name="40% - Accent2 4 9" xfId="817"/>
    <cellStyle name="40% - Accent2 40" xfId="818"/>
    <cellStyle name="40% - Accent2 41" xfId="819"/>
    <cellStyle name="40% - Accent2 42" xfId="820"/>
    <cellStyle name="40% - Accent2 43" xfId="821"/>
    <cellStyle name="40% - Accent2 44" xfId="822"/>
    <cellStyle name="40% - Accent2 45" xfId="823"/>
    <cellStyle name="40% - Accent2 46" xfId="824"/>
    <cellStyle name="40% - Accent2 47" xfId="825"/>
    <cellStyle name="40% - Accent2 48" xfId="826"/>
    <cellStyle name="40% - Accent2 49" xfId="827"/>
    <cellStyle name="40% - Accent2 5" xfId="828"/>
    <cellStyle name="40% - Accent2 50" xfId="829"/>
    <cellStyle name="40% - Accent2 6" xfId="830"/>
    <cellStyle name="40% - Accent2 7" xfId="831"/>
    <cellStyle name="40% - Accent2 8" xfId="832"/>
    <cellStyle name="40% - Accent2 9" xfId="833"/>
    <cellStyle name="40% - Accent3" xfId="834" builtinId="39" customBuiltin="1"/>
    <cellStyle name="40% - Accent3 10" xfId="835"/>
    <cellStyle name="40% - Accent3 11" xfId="836"/>
    <cellStyle name="40% - Accent3 12" xfId="837"/>
    <cellStyle name="40% - Accent3 13" xfId="838"/>
    <cellStyle name="40% - Accent3 14" xfId="839"/>
    <cellStyle name="40% - Accent3 15" xfId="840"/>
    <cellStyle name="40% - Accent3 16" xfId="841"/>
    <cellStyle name="40% - Accent3 17" xfId="842"/>
    <cellStyle name="40% - Accent3 18" xfId="843"/>
    <cellStyle name="40% - Accent3 19" xfId="844"/>
    <cellStyle name="40% - Accent3 2" xfId="845"/>
    <cellStyle name="40% - Accent3 2 10" xfId="846"/>
    <cellStyle name="40% - Accent3 2 11" xfId="847"/>
    <cellStyle name="40% - Accent3 2 12" xfId="848"/>
    <cellStyle name="40% - Accent3 2 13" xfId="849"/>
    <cellStyle name="40% - Accent3 2 14" xfId="850"/>
    <cellStyle name="40% - Accent3 2 15" xfId="851"/>
    <cellStyle name="40% - Accent3 2 16" xfId="852"/>
    <cellStyle name="40% - Accent3 2 17" xfId="853"/>
    <cellStyle name="40% - Accent3 2 18" xfId="854"/>
    <cellStyle name="40% - Accent3 2 19" xfId="855"/>
    <cellStyle name="40% - Accent3 2 2" xfId="856"/>
    <cellStyle name="40% - Accent3 2 3" xfId="857"/>
    <cellStyle name="40% - Accent3 2 4" xfId="858"/>
    <cellStyle name="40% - Accent3 2 5" xfId="859"/>
    <cellStyle name="40% - Accent3 2 6" xfId="860"/>
    <cellStyle name="40% - Accent3 2 7" xfId="861"/>
    <cellStyle name="40% - Accent3 2 8" xfId="862"/>
    <cellStyle name="40% - Accent3 2 9" xfId="863"/>
    <cellStyle name="40% - Accent3 20" xfId="864"/>
    <cellStyle name="40% - Accent3 21" xfId="865"/>
    <cellStyle name="40% - Accent3 22" xfId="866"/>
    <cellStyle name="40% - Accent3 23" xfId="867"/>
    <cellStyle name="40% - Accent3 24" xfId="868"/>
    <cellStyle name="40% - Accent3 25" xfId="869"/>
    <cellStyle name="40% - Accent3 26" xfId="870"/>
    <cellStyle name="40% - Accent3 27" xfId="871"/>
    <cellStyle name="40% - Accent3 28" xfId="872"/>
    <cellStyle name="40% - Accent3 29" xfId="873"/>
    <cellStyle name="40% - Accent3 3" xfId="874"/>
    <cellStyle name="40% - Accent3 3 10" xfId="875"/>
    <cellStyle name="40% - Accent3 3 11" xfId="876"/>
    <cellStyle name="40% - Accent3 3 12" xfId="877"/>
    <cellStyle name="40% - Accent3 3 13" xfId="878"/>
    <cellStyle name="40% - Accent3 3 14" xfId="879"/>
    <cellStyle name="40% - Accent3 3 15" xfId="880"/>
    <cellStyle name="40% - Accent3 3 16" xfId="881"/>
    <cellStyle name="40% - Accent3 3 17" xfId="882"/>
    <cellStyle name="40% - Accent3 3 18" xfId="883"/>
    <cellStyle name="40% - Accent3 3 19" xfId="884"/>
    <cellStyle name="40% - Accent3 3 2" xfId="885"/>
    <cellStyle name="40% - Accent3 3 3" xfId="886"/>
    <cellStyle name="40% - Accent3 3 4" xfId="887"/>
    <cellStyle name="40% - Accent3 3 5" xfId="888"/>
    <cellStyle name="40% - Accent3 3 6" xfId="889"/>
    <cellStyle name="40% - Accent3 3 7" xfId="890"/>
    <cellStyle name="40% - Accent3 3 8" xfId="891"/>
    <cellStyle name="40% - Accent3 3 9" xfId="892"/>
    <cellStyle name="40% - Accent3 30" xfId="893"/>
    <cellStyle name="40% - Accent3 31" xfId="894"/>
    <cellStyle name="40% - Accent3 32" xfId="895"/>
    <cellStyle name="40% - Accent3 33" xfId="896"/>
    <cellStyle name="40% - Accent3 34" xfId="897"/>
    <cellStyle name="40% - Accent3 35" xfId="898"/>
    <cellStyle name="40% - Accent3 36" xfId="899"/>
    <cellStyle name="40% - Accent3 37" xfId="900"/>
    <cellStyle name="40% - Accent3 38" xfId="901"/>
    <cellStyle name="40% - Accent3 39" xfId="902"/>
    <cellStyle name="40% - Accent3 4" xfId="903"/>
    <cellStyle name="40% - Accent3 4 10" xfId="904"/>
    <cellStyle name="40% - Accent3 4 11" xfId="905"/>
    <cellStyle name="40% - Accent3 4 12" xfId="906"/>
    <cellStyle name="40% - Accent3 4 13" xfId="907"/>
    <cellStyle name="40% - Accent3 4 14" xfId="908"/>
    <cellStyle name="40% - Accent3 4 15" xfId="909"/>
    <cellStyle name="40% - Accent3 4 16" xfId="910"/>
    <cellStyle name="40% - Accent3 4 17" xfId="911"/>
    <cellStyle name="40% - Accent3 4 18" xfId="912"/>
    <cellStyle name="40% - Accent3 4 19" xfId="913"/>
    <cellStyle name="40% - Accent3 4 2" xfId="914"/>
    <cellStyle name="40% - Accent3 4 3" xfId="915"/>
    <cellStyle name="40% - Accent3 4 4" xfId="916"/>
    <cellStyle name="40% - Accent3 4 5" xfId="917"/>
    <cellStyle name="40% - Accent3 4 6" xfId="918"/>
    <cellStyle name="40% - Accent3 4 7" xfId="919"/>
    <cellStyle name="40% - Accent3 4 8" xfId="920"/>
    <cellStyle name="40% - Accent3 4 9" xfId="921"/>
    <cellStyle name="40% - Accent3 40" xfId="922"/>
    <cellStyle name="40% - Accent3 41" xfId="923"/>
    <cellStyle name="40% - Accent3 42" xfId="924"/>
    <cellStyle name="40% - Accent3 43" xfId="925"/>
    <cellStyle name="40% - Accent3 44" xfId="926"/>
    <cellStyle name="40% - Accent3 45" xfId="927"/>
    <cellStyle name="40% - Accent3 46" xfId="928"/>
    <cellStyle name="40% - Accent3 47" xfId="929"/>
    <cellStyle name="40% - Accent3 48" xfId="930"/>
    <cellStyle name="40% - Accent3 49" xfId="931"/>
    <cellStyle name="40% - Accent3 5" xfId="932"/>
    <cellStyle name="40% - Accent3 50" xfId="933"/>
    <cellStyle name="40% - Accent3 6" xfId="934"/>
    <cellStyle name="40% - Accent3 7" xfId="935"/>
    <cellStyle name="40% - Accent3 8" xfId="936"/>
    <cellStyle name="40% - Accent3 9" xfId="937"/>
    <cellStyle name="40% - Accent4" xfId="938" builtinId="43" customBuiltin="1"/>
    <cellStyle name="40% - Accent4 10" xfId="939"/>
    <cellStyle name="40% - Accent4 11" xfId="940"/>
    <cellStyle name="40% - Accent4 12" xfId="941"/>
    <cellStyle name="40% - Accent4 13" xfId="942"/>
    <cellStyle name="40% - Accent4 14" xfId="943"/>
    <cellStyle name="40% - Accent4 15" xfId="944"/>
    <cellStyle name="40% - Accent4 16" xfId="945"/>
    <cellStyle name="40% - Accent4 17" xfId="946"/>
    <cellStyle name="40% - Accent4 18" xfId="947"/>
    <cellStyle name="40% - Accent4 19" xfId="948"/>
    <cellStyle name="40% - Accent4 2" xfId="949"/>
    <cellStyle name="40% - Accent4 2 10" xfId="950"/>
    <cellStyle name="40% - Accent4 2 11" xfId="951"/>
    <cellStyle name="40% - Accent4 2 12" xfId="952"/>
    <cellStyle name="40% - Accent4 2 13" xfId="953"/>
    <cellStyle name="40% - Accent4 2 14" xfId="954"/>
    <cellStyle name="40% - Accent4 2 15" xfId="955"/>
    <cellStyle name="40% - Accent4 2 16" xfId="956"/>
    <cellStyle name="40% - Accent4 2 17" xfId="957"/>
    <cellStyle name="40% - Accent4 2 18" xfId="958"/>
    <cellStyle name="40% - Accent4 2 19" xfId="959"/>
    <cellStyle name="40% - Accent4 2 2" xfId="960"/>
    <cellStyle name="40% - Accent4 2 3" xfId="961"/>
    <cellStyle name="40% - Accent4 2 4" xfId="962"/>
    <cellStyle name="40% - Accent4 2 5" xfId="963"/>
    <cellStyle name="40% - Accent4 2 6" xfId="964"/>
    <cellStyle name="40% - Accent4 2 7" xfId="965"/>
    <cellStyle name="40% - Accent4 2 8" xfId="966"/>
    <cellStyle name="40% - Accent4 2 9" xfId="967"/>
    <cellStyle name="40% - Accent4 20" xfId="968"/>
    <cellStyle name="40% - Accent4 21" xfId="969"/>
    <cellStyle name="40% - Accent4 22" xfId="970"/>
    <cellStyle name="40% - Accent4 23" xfId="971"/>
    <cellStyle name="40% - Accent4 24" xfId="972"/>
    <cellStyle name="40% - Accent4 25" xfId="973"/>
    <cellStyle name="40% - Accent4 26" xfId="974"/>
    <cellStyle name="40% - Accent4 27" xfId="975"/>
    <cellStyle name="40% - Accent4 28" xfId="976"/>
    <cellStyle name="40% - Accent4 29" xfId="977"/>
    <cellStyle name="40% - Accent4 3" xfId="978"/>
    <cellStyle name="40% - Accent4 3 10" xfId="979"/>
    <cellStyle name="40% - Accent4 3 11" xfId="980"/>
    <cellStyle name="40% - Accent4 3 12" xfId="981"/>
    <cellStyle name="40% - Accent4 3 13" xfId="982"/>
    <cellStyle name="40% - Accent4 3 14" xfId="983"/>
    <cellStyle name="40% - Accent4 3 15" xfId="984"/>
    <cellStyle name="40% - Accent4 3 16" xfId="985"/>
    <cellStyle name="40% - Accent4 3 17" xfId="986"/>
    <cellStyle name="40% - Accent4 3 18" xfId="987"/>
    <cellStyle name="40% - Accent4 3 19" xfId="988"/>
    <cellStyle name="40% - Accent4 3 2" xfId="989"/>
    <cellStyle name="40% - Accent4 3 3" xfId="990"/>
    <cellStyle name="40% - Accent4 3 4" xfId="991"/>
    <cellStyle name="40% - Accent4 3 5" xfId="992"/>
    <cellStyle name="40% - Accent4 3 6" xfId="993"/>
    <cellStyle name="40% - Accent4 3 7" xfId="994"/>
    <cellStyle name="40% - Accent4 3 8" xfId="995"/>
    <cellStyle name="40% - Accent4 3 9" xfId="996"/>
    <cellStyle name="40% - Accent4 30" xfId="997"/>
    <cellStyle name="40% - Accent4 31" xfId="998"/>
    <cellStyle name="40% - Accent4 32" xfId="999"/>
    <cellStyle name="40% - Accent4 33" xfId="1000"/>
    <cellStyle name="40% - Accent4 34" xfId="1001"/>
    <cellStyle name="40% - Accent4 35" xfId="1002"/>
    <cellStyle name="40% - Accent4 36" xfId="1003"/>
    <cellStyle name="40% - Accent4 37" xfId="1004"/>
    <cellStyle name="40% - Accent4 38" xfId="1005"/>
    <cellStyle name="40% - Accent4 39" xfId="1006"/>
    <cellStyle name="40% - Accent4 4" xfId="1007"/>
    <cellStyle name="40% - Accent4 4 10" xfId="1008"/>
    <cellStyle name="40% - Accent4 4 11" xfId="1009"/>
    <cellStyle name="40% - Accent4 4 12" xfId="1010"/>
    <cellStyle name="40% - Accent4 4 13" xfId="1011"/>
    <cellStyle name="40% - Accent4 4 14" xfId="1012"/>
    <cellStyle name="40% - Accent4 4 15" xfId="1013"/>
    <cellStyle name="40% - Accent4 4 16" xfId="1014"/>
    <cellStyle name="40% - Accent4 4 17" xfId="1015"/>
    <cellStyle name="40% - Accent4 4 18" xfId="1016"/>
    <cellStyle name="40% - Accent4 4 19" xfId="1017"/>
    <cellStyle name="40% - Accent4 4 2" xfId="1018"/>
    <cellStyle name="40% - Accent4 4 3" xfId="1019"/>
    <cellStyle name="40% - Accent4 4 4" xfId="1020"/>
    <cellStyle name="40% - Accent4 4 5" xfId="1021"/>
    <cellStyle name="40% - Accent4 4 6" xfId="1022"/>
    <cellStyle name="40% - Accent4 4 7" xfId="1023"/>
    <cellStyle name="40% - Accent4 4 8" xfId="1024"/>
    <cellStyle name="40% - Accent4 4 9" xfId="1025"/>
    <cellStyle name="40% - Accent4 40" xfId="1026"/>
    <cellStyle name="40% - Accent4 41" xfId="1027"/>
    <cellStyle name="40% - Accent4 42" xfId="1028"/>
    <cellStyle name="40% - Accent4 43" xfId="1029"/>
    <cellStyle name="40% - Accent4 44" xfId="1030"/>
    <cellStyle name="40% - Accent4 45" xfId="1031"/>
    <cellStyle name="40% - Accent4 46" xfId="1032"/>
    <cellStyle name="40% - Accent4 47" xfId="1033"/>
    <cellStyle name="40% - Accent4 48" xfId="1034"/>
    <cellStyle name="40% - Accent4 49" xfId="1035"/>
    <cellStyle name="40% - Accent4 5" xfId="1036"/>
    <cellStyle name="40% - Accent4 50" xfId="1037"/>
    <cellStyle name="40% - Accent4 6" xfId="1038"/>
    <cellStyle name="40% - Accent4 7" xfId="1039"/>
    <cellStyle name="40% - Accent4 8" xfId="1040"/>
    <cellStyle name="40% - Accent4 9" xfId="1041"/>
    <cellStyle name="40% - Accent5" xfId="1042" builtinId="47" customBuiltin="1"/>
    <cellStyle name="40% - Accent5 10" xfId="1043"/>
    <cellStyle name="40% - Accent5 11" xfId="1044"/>
    <cellStyle name="40% - Accent5 12" xfId="1045"/>
    <cellStyle name="40% - Accent5 13" xfId="1046"/>
    <cellStyle name="40% - Accent5 14" xfId="1047"/>
    <cellStyle name="40% - Accent5 15" xfId="1048"/>
    <cellStyle name="40% - Accent5 16" xfId="1049"/>
    <cellStyle name="40% - Accent5 17" xfId="1050"/>
    <cellStyle name="40% - Accent5 18" xfId="1051"/>
    <cellStyle name="40% - Accent5 19" xfId="1052"/>
    <cellStyle name="40% - Accent5 2" xfId="1053"/>
    <cellStyle name="40% - Accent5 2 10" xfId="1054"/>
    <cellStyle name="40% - Accent5 2 11" xfId="1055"/>
    <cellStyle name="40% - Accent5 2 12" xfId="1056"/>
    <cellStyle name="40% - Accent5 2 13" xfId="1057"/>
    <cellStyle name="40% - Accent5 2 14" xfId="1058"/>
    <cellStyle name="40% - Accent5 2 15" xfId="1059"/>
    <cellStyle name="40% - Accent5 2 16" xfId="1060"/>
    <cellStyle name="40% - Accent5 2 17" xfId="1061"/>
    <cellStyle name="40% - Accent5 2 18" xfId="1062"/>
    <cellStyle name="40% - Accent5 2 19" xfId="1063"/>
    <cellStyle name="40% - Accent5 2 2" xfId="1064"/>
    <cellStyle name="40% - Accent5 2 3" xfId="1065"/>
    <cellStyle name="40% - Accent5 2 4" xfId="1066"/>
    <cellStyle name="40% - Accent5 2 5" xfId="1067"/>
    <cellStyle name="40% - Accent5 2 6" xfId="1068"/>
    <cellStyle name="40% - Accent5 2 7" xfId="1069"/>
    <cellStyle name="40% - Accent5 2 8" xfId="1070"/>
    <cellStyle name="40% - Accent5 2 9" xfId="1071"/>
    <cellStyle name="40% - Accent5 20" xfId="1072"/>
    <cellStyle name="40% - Accent5 21" xfId="1073"/>
    <cellStyle name="40% - Accent5 22" xfId="1074"/>
    <cellStyle name="40% - Accent5 23" xfId="1075"/>
    <cellStyle name="40% - Accent5 24" xfId="1076"/>
    <cellStyle name="40% - Accent5 25" xfId="1077"/>
    <cellStyle name="40% - Accent5 26" xfId="1078"/>
    <cellStyle name="40% - Accent5 27" xfId="1079"/>
    <cellStyle name="40% - Accent5 28" xfId="1080"/>
    <cellStyle name="40% - Accent5 29" xfId="1081"/>
    <cellStyle name="40% - Accent5 3" xfId="1082"/>
    <cellStyle name="40% - Accent5 3 10" xfId="1083"/>
    <cellStyle name="40% - Accent5 3 11" xfId="1084"/>
    <cellStyle name="40% - Accent5 3 12" xfId="1085"/>
    <cellStyle name="40% - Accent5 3 13" xfId="1086"/>
    <cellStyle name="40% - Accent5 3 14" xfId="1087"/>
    <cellStyle name="40% - Accent5 3 15" xfId="1088"/>
    <cellStyle name="40% - Accent5 3 16" xfId="1089"/>
    <cellStyle name="40% - Accent5 3 17" xfId="1090"/>
    <cellStyle name="40% - Accent5 3 18" xfId="1091"/>
    <cellStyle name="40% - Accent5 3 19" xfId="1092"/>
    <cellStyle name="40% - Accent5 3 2" xfId="1093"/>
    <cellStyle name="40% - Accent5 3 3" xfId="1094"/>
    <cellStyle name="40% - Accent5 3 4" xfId="1095"/>
    <cellStyle name="40% - Accent5 3 5" xfId="1096"/>
    <cellStyle name="40% - Accent5 3 6" xfId="1097"/>
    <cellStyle name="40% - Accent5 3 7" xfId="1098"/>
    <cellStyle name="40% - Accent5 3 8" xfId="1099"/>
    <cellStyle name="40% - Accent5 3 9" xfId="1100"/>
    <cellStyle name="40% - Accent5 30" xfId="1101"/>
    <cellStyle name="40% - Accent5 31" xfId="1102"/>
    <cellStyle name="40% - Accent5 32" xfId="1103"/>
    <cellStyle name="40% - Accent5 33" xfId="1104"/>
    <cellStyle name="40% - Accent5 34" xfId="1105"/>
    <cellStyle name="40% - Accent5 35" xfId="1106"/>
    <cellStyle name="40% - Accent5 36" xfId="1107"/>
    <cellStyle name="40% - Accent5 37" xfId="1108"/>
    <cellStyle name="40% - Accent5 38" xfId="1109"/>
    <cellStyle name="40% - Accent5 39" xfId="1110"/>
    <cellStyle name="40% - Accent5 4" xfId="1111"/>
    <cellStyle name="40% - Accent5 4 10" xfId="1112"/>
    <cellStyle name="40% - Accent5 4 11" xfId="1113"/>
    <cellStyle name="40% - Accent5 4 12" xfId="1114"/>
    <cellStyle name="40% - Accent5 4 13" xfId="1115"/>
    <cellStyle name="40% - Accent5 4 14" xfId="1116"/>
    <cellStyle name="40% - Accent5 4 15" xfId="1117"/>
    <cellStyle name="40% - Accent5 4 16" xfId="1118"/>
    <cellStyle name="40% - Accent5 4 17" xfId="1119"/>
    <cellStyle name="40% - Accent5 4 18" xfId="1120"/>
    <cellStyle name="40% - Accent5 4 19" xfId="1121"/>
    <cellStyle name="40% - Accent5 4 2" xfId="1122"/>
    <cellStyle name="40% - Accent5 4 3" xfId="1123"/>
    <cellStyle name="40% - Accent5 4 4" xfId="1124"/>
    <cellStyle name="40% - Accent5 4 5" xfId="1125"/>
    <cellStyle name="40% - Accent5 4 6" xfId="1126"/>
    <cellStyle name="40% - Accent5 4 7" xfId="1127"/>
    <cellStyle name="40% - Accent5 4 8" xfId="1128"/>
    <cellStyle name="40% - Accent5 4 9" xfId="1129"/>
    <cellStyle name="40% - Accent5 40" xfId="1130"/>
    <cellStyle name="40% - Accent5 41" xfId="1131"/>
    <cellStyle name="40% - Accent5 42" xfId="1132"/>
    <cellStyle name="40% - Accent5 43" xfId="1133"/>
    <cellStyle name="40% - Accent5 44" xfId="1134"/>
    <cellStyle name="40% - Accent5 45" xfId="1135"/>
    <cellStyle name="40% - Accent5 46" xfId="1136"/>
    <cellStyle name="40% - Accent5 47" xfId="1137"/>
    <cellStyle name="40% - Accent5 48" xfId="1138"/>
    <cellStyle name="40% - Accent5 49" xfId="1139"/>
    <cellStyle name="40% - Accent5 5" xfId="1140"/>
    <cellStyle name="40% - Accent5 50" xfId="1141"/>
    <cellStyle name="40% - Accent5 6" xfId="1142"/>
    <cellStyle name="40% - Accent5 7" xfId="1143"/>
    <cellStyle name="40% - Accent5 8" xfId="1144"/>
    <cellStyle name="40% - Accent5 9" xfId="1145"/>
    <cellStyle name="40% - Accent6" xfId="1146" builtinId="51" customBuiltin="1"/>
    <cellStyle name="40% - Accent6 10" xfId="1147"/>
    <cellStyle name="40% - Accent6 11" xfId="1148"/>
    <cellStyle name="40% - Accent6 12" xfId="1149"/>
    <cellStyle name="40% - Accent6 13" xfId="1150"/>
    <cellStyle name="40% - Accent6 14" xfId="1151"/>
    <cellStyle name="40% - Accent6 15" xfId="1152"/>
    <cellStyle name="40% - Accent6 16" xfId="1153"/>
    <cellStyle name="40% - Accent6 17" xfId="1154"/>
    <cellStyle name="40% - Accent6 18" xfId="1155"/>
    <cellStyle name="40% - Accent6 19" xfId="1156"/>
    <cellStyle name="40% - Accent6 2" xfId="1157"/>
    <cellStyle name="40% - Accent6 2 10" xfId="1158"/>
    <cellStyle name="40% - Accent6 2 11" xfId="1159"/>
    <cellStyle name="40% - Accent6 2 12" xfId="1160"/>
    <cellStyle name="40% - Accent6 2 13" xfId="1161"/>
    <cellStyle name="40% - Accent6 2 14" xfId="1162"/>
    <cellStyle name="40% - Accent6 2 15" xfId="1163"/>
    <cellStyle name="40% - Accent6 2 16" xfId="1164"/>
    <cellStyle name="40% - Accent6 2 17" xfId="1165"/>
    <cellStyle name="40% - Accent6 2 18" xfId="1166"/>
    <cellStyle name="40% - Accent6 2 19" xfId="1167"/>
    <cellStyle name="40% - Accent6 2 2" xfId="1168"/>
    <cellStyle name="40% - Accent6 2 3" xfId="1169"/>
    <cellStyle name="40% - Accent6 2 4" xfId="1170"/>
    <cellStyle name="40% - Accent6 2 5" xfId="1171"/>
    <cellStyle name="40% - Accent6 2 6" xfId="1172"/>
    <cellStyle name="40% - Accent6 2 7" xfId="1173"/>
    <cellStyle name="40% - Accent6 2 8" xfId="1174"/>
    <cellStyle name="40% - Accent6 2 9" xfId="1175"/>
    <cellStyle name="40% - Accent6 20" xfId="1176"/>
    <cellStyle name="40% - Accent6 21" xfId="1177"/>
    <cellStyle name="40% - Accent6 22" xfId="1178"/>
    <cellStyle name="40% - Accent6 23" xfId="1179"/>
    <cellStyle name="40% - Accent6 24" xfId="1180"/>
    <cellStyle name="40% - Accent6 25" xfId="1181"/>
    <cellStyle name="40% - Accent6 26" xfId="1182"/>
    <cellStyle name="40% - Accent6 27" xfId="1183"/>
    <cellStyle name="40% - Accent6 28" xfId="1184"/>
    <cellStyle name="40% - Accent6 29" xfId="1185"/>
    <cellStyle name="40% - Accent6 3" xfId="1186"/>
    <cellStyle name="40% - Accent6 3 10" xfId="1187"/>
    <cellStyle name="40% - Accent6 3 11" xfId="1188"/>
    <cellStyle name="40% - Accent6 3 12" xfId="1189"/>
    <cellStyle name="40% - Accent6 3 13" xfId="1190"/>
    <cellStyle name="40% - Accent6 3 14" xfId="1191"/>
    <cellStyle name="40% - Accent6 3 15" xfId="1192"/>
    <cellStyle name="40% - Accent6 3 16" xfId="1193"/>
    <cellStyle name="40% - Accent6 3 17" xfId="1194"/>
    <cellStyle name="40% - Accent6 3 18" xfId="1195"/>
    <cellStyle name="40% - Accent6 3 19" xfId="1196"/>
    <cellStyle name="40% - Accent6 3 2" xfId="1197"/>
    <cellStyle name="40% - Accent6 3 3" xfId="1198"/>
    <cellStyle name="40% - Accent6 3 4" xfId="1199"/>
    <cellStyle name="40% - Accent6 3 5" xfId="1200"/>
    <cellStyle name="40% - Accent6 3 6" xfId="1201"/>
    <cellStyle name="40% - Accent6 3 7" xfId="1202"/>
    <cellStyle name="40% - Accent6 3 8" xfId="1203"/>
    <cellStyle name="40% - Accent6 3 9" xfId="1204"/>
    <cellStyle name="40% - Accent6 30" xfId="1205"/>
    <cellStyle name="40% - Accent6 31" xfId="1206"/>
    <cellStyle name="40% - Accent6 32" xfId="1207"/>
    <cellStyle name="40% - Accent6 33" xfId="1208"/>
    <cellStyle name="40% - Accent6 34" xfId="1209"/>
    <cellStyle name="40% - Accent6 35" xfId="1210"/>
    <cellStyle name="40% - Accent6 36" xfId="1211"/>
    <cellStyle name="40% - Accent6 37" xfId="1212"/>
    <cellStyle name="40% - Accent6 38" xfId="1213"/>
    <cellStyle name="40% - Accent6 39" xfId="1214"/>
    <cellStyle name="40% - Accent6 4" xfId="1215"/>
    <cellStyle name="40% - Accent6 4 10" xfId="1216"/>
    <cellStyle name="40% - Accent6 4 11" xfId="1217"/>
    <cellStyle name="40% - Accent6 4 12" xfId="1218"/>
    <cellStyle name="40% - Accent6 4 13" xfId="1219"/>
    <cellStyle name="40% - Accent6 4 14" xfId="1220"/>
    <cellStyle name="40% - Accent6 4 15" xfId="1221"/>
    <cellStyle name="40% - Accent6 4 16" xfId="1222"/>
    <cellStyle name="40% - Accent6 4 17" xfId="1223"/>
    <cellStyle name="40% - Accent6 4 18" xfId="1224"/>
    <cellStyle name="40% - Accent6 4 19" xfId="1225"/>
    <cellStyle name="40% - Accent6 4 2" xfId="1226"/>
    <cellStyle name="40% - Accent6 4 3" xfId="1227"/>
    <cellStyle name="40% - Accent6 4 4" xfId="1228"/>
    <cellStyle name="40% - Accent6 4 5" xfId="1229"/>
    <cellStyle name="40% - Accent6 4 6" xfId="1230"/>
    <cellStyle name="40% - Accent6 4 7" xfId="1231"/>
    <cellStyle name="40% - Accent6 4 8" xfId="1232"/>
    <cellStyle name="40% - Accent6 4 9" xfId="1233"/>
    <cellStyle name="40% - Accent6 40" xfId="1234"/>
    <cellStyle name="40% - Accent6 41" xfId="1235"/>
    <cellStyle name="40% - Accent6 42" xfId="1236"/>
    <cellStyle name="40% - Accent6 43" xfId="1237"/>
    <cellStyle name="40% - Accent6 44" xfId="1238"/>
    <cellStyle name="40% - Accent6 45" xfId="1239"/>
    <cellStyle name="40% - Accent6 46" xfId="1240"/>
    <cellStyle name="40% - Accent6 47" xfId="1241"/>
    <cellStyle name="40% - Accent6 48" xfId="1242"/>
    <cellStyle name="40% - Accent6 49" xfId="1243"/>
    <cellStyle name="40% - Accent6 5" xfId="1244"/>
    <cellStyle name="40% - Accent6 50" xfId="1245"/>
    <cellStyle name="40% - Accent6 6" xfId="1246"/>
    <cellStyle name="40% - Accent6 7" xfId="1247"/>
    <cellStyle name="40% - Accent6 8" xfId="1248"/>
    <cellStyle name="40% - Accent6 9" xfId="1249"/>
    <cellStyle name="60% - Accent1" xfId="1250" builtinId="32" customBuiltin="1"/>
    <cellStyle name="60% - Accent1 10" xfId="1251"/>
    <cellStyle name="60% - Accent1 11" xfId="1252"/>
    <cellStyle name="60% - Accent1 12" xfId="1253"/>
    <cellStyle name="60% - Accent1 13" xfId="1254"/>
    <cellStyle name="60% - Accent1 14" xfId="1255"/>
    <cellStyle name="60% - Accent1 15" xfId="1256"/>
    <cellStyle name="60% - Accent1 16" xfId="1257"/>
    <cellStyle name="60% - Accent1 17" xfId="1258"/>
    <cellStyle name="60% - Accent1 18" xfId="1259"/>
    <cellStyle name="60% - Accent1 19" xfId="1260"/>
    <cellStyle name="60% - Accent1 2" xfId="1261"/>
    <cellStyle name="60% - Accent1 2 10" xfId="1262"/>
    <cellStyle name="60% - Accent1 2 11" xfId="1263"/>
    <cellStyle name="60% - Accent1 2 12" xfId="1264"/>
    <cellStyle name="60% - Accent1 2 13" xfId="1265"/>
    <cellStyle name="60% - Accent1 2 14" xfId="1266"/>
    <cellStyle name="60% - Accent1 2 15" xfId="1267"/>
    <cellStyle name="60% - Accent1 2 16" xfId="1268"/>
    <cellStyle name="60% - Accent1 2 17" xfId="1269"/>
    <cellStyle name="60% - Accent1 2 18" xfId="1270"/>
    <cellStyle name="60% - Accent1 2 19" xfId="1271"/>
    <cellStyle name="60% - Accent1 2 2" xfId="1272"/>
    <cellStyle name="60% - Accent1 2 3" xfId="1273"/>
    <cellStyle name="60% - Accent1 2 4" xfId="1274"/>
    <cellStyle name="60% - Accent1 2 5" xfId="1275"/>
    <cellStyle name="60% - Accent1 2 6" xfId="1276"/>
    <cellStyle name="60% - Accent1 2 7" xfId="1277"/>
    <cellStyle name="60% - Accent1 2 8" xfId="1278"/>
    <cellStyle name="60% - Accent1 2 9" xfId="1279"/>
    <cellStyle name="60% - Accent1 20" xfId="1280"/>
    <cellStyle name="60% - Accent1 21" xfId="1281"/>
    <cellStyle name="60% - Accent1 22" xfId="1282"/>
    <cellStyle name="60% - Accent1 23" xfId="1283"/>
    <cellStyle name="60% - Accent1 24" xfId="1284"/>
    <cellStyle name="60% - Accent1 25" xfId="1285"/>
    <cellStyle name="60% - Accent1 26" xfId="1286"/>
    <cellStyle name="60% - Accent1 27" xfId="1287"/>
    <cellStyle name="60% - Accent1 28" xfId="1288"/>
    <cellStyle name="60% - Accent1 29" xfId="1289"/>
    <cellStyle name="60% - Accent1 3" xfId="1290"/>
    <cellStyle name="60% - Accent1 3 10" xfId="1291"/>
    <cellStyle name="60% - Accent1 3 11" xfId="1292"/>
    <cellStyle name="60% - Accent1 3 12" xfId="1293"/>
    <cellStyle name="60% - Accent1 3 13" xfId="1294"/>
    <cellStyle name="60% - Accent1 3 14" xfId="1295"/>
    <cellStyle name="60% - Accent1 3 15" xfId="1296"/>
    <cellStyle name="60% - Accent1 3 16" xfId="1297"/>
    <cellStyle name="60% - Accent1 3 17" xfId="1298"/>
    <cellStyle name="60% - Accent1 3 18" xfId="1299"/>
    <cellStyle name="60% - Accent1 3 19" xfId="1300"/>
    <cellStyle name="60% - Accent1 3 2" xfId="1301"/>
    <cellStyle name="60% - Accent1 3 3" xfId="1302"/>
    <cellStyle name="60% - Accent1 3 4" xfId="1303"/>
    <cellStyle name="60% - Accent1 3 5" xfId="1304"/>
    <cellStyle name="60% - Accent1 3 6" xfId="1305"/>
    <cellStyle name="60% - Accent1 3 7" xfId="1306"/>
    <cellStyle name="60% - Accent1 3 8" xfId="1307"/>
    <cellStyle name="60% - Accent1 3 9" xfId="1308"/>
    <cellStyle name="60% - Accent1 30" xfId="1309"/>
    <cellStyle name="60% - Accent1 31" xfId="1310"/>
    <cellStyle name="60% - Accent1 32" xfId="1311"/>
    <cellStyle name="60% - Accent1 33" xfId="1312"/>
    <cellStyle name="60% - Accent1 34" xfId="1313"/>
    <cellStyle name="60% - Accent1 35" xfId="1314"/>
    <cellStyle name="60% - Accent1 36" xfId="1315"/>
    <cellStyle name="60% - Accent1 37" xfId="1316"/>
    <cellStyle name="60% - Accent1 38" xfId="1317"/>
    <cellStyle name="60% - Accent1 39" xfId="1318"/>
    <cellStyle name="60% - Accent1 4" xfId="1319"/>
    <cellStyle name="60% - Accent1 4 10" xfId="1320"/>
    <cellStyle name="60% - Accent1 4 11" xfId="1321"/>
    <cellStyle name="60% - Accent1 4 12" xfId="1322"/>
    <cellStyle name="60% - Accent1 4 13" xfId="1323"/>
    <cellStyle name="60% - Accent1 4 14" xfId="1324"/>
    <cellStyle name="60% - Accent1 4 15" xfId="1325"/>
    <cellStyle name="60% - Accent1 4 16" xfId="1326"/>
    <cellStyle name="60% - Accent1 4 17" xfId="1327"/>
    <cellStyle name="60% - Accent1 4 18" xfId="1328"/>
    <cellStyle name="60% - Accent1 4 19" xfId="1329"/>
    <cellStyle name="60% - Accent1 4 2" xfId="1330"/>
    <cellStyle name="60% - Accent1 4 3" xfId="1331"/>
    <cellStyle name="60% - Accent1 4 4" xfId="1332"/>
    <cellStyle name="60% - Accent1 4 5" xfId="1333"/>
    <cellStyle name="60% - Accent1 4 6" xfId="1334"/>
    <cellStyle name="60% - Accent1 4 7" xfId="1335"/>
    <cellStyle name="60% - Accent1 4 8" xfId="1336"/>
    <cellStyle name="60% - Accent1 4 9" xfId="1337"/>
    <cellStyle name="60% - Accent1 40" xfId="1338"/>
    <cellStyle name="60% - Accent1 41" xfId="1339"/>
    <cellStyle name="60% - Accent1 42" xfId="1340"/>
    <cellStyle name="60% - Accent1 43" xfId="1341"/>
    <cellStyle name="60% - Accent1 44" xfId="1342"/>
    <cellStyle name="60% - Accent1 45" xfId="1343"/>
    <cellStyle name="60% - Accent1 46" xfId="1344"/>
    <cellStyle name="60% - Accent1 47" xfId="1345"/>
    <cellStyle name="60% - Accent1 48" xfId="1346"/>
    <cellStyle name="60% - Accent1 49" xfId="1347"/>
    <cellStyle name="60% - Accent1 5" xfId="1348"/>
    <cellStyle name="60% - Accent1 50" xfId="1349"/>
    <cellStyle name="60% - Accent1 6" xfId="1350"/>
    <cellStyle name="60% - Accent1 7" xfId="1351"/>
    <cellStyle name="60% - Accent1 8" xfId="1352"/>
    <cellStyle name="60% - Accent1 9" xfId="1353"/>
    <cellStyle name="60% - Accent2" xfId="1354" builtinId="36" customBuiltin="1"/>
    <cellStyle name="60% - Accent2 10" xfId="1355"/>
    <cellStyle name="60% - Accent2 11" xfId="1356"/>
    <cellStyle name="60% - Accent2 12" xfId="1357"/>
    <cellStyle name="60% - Accent2 13" xfId="1358"/>
    <cellStyle name="60% - Accent2 14" xfId="1359"/>
    <cellStyle name="60% - Accent2 15" xfId="1360"/>
    <cellStyle name="60% - Accent2 16" xfId="1361"/>
    <cellStyle name="60% - Accent2 17" xfId="1362"/>
    <cellStyle name="60% - Accent2 18" xfId="1363"/>
    <cellStyle name="60% - Accent2 19" xfId="1364"/>
    <cellStyle name="60% - Accent2 2" xfId="1365"/>
    <cellStyle name="60% - Accent2 2 10" xfId="1366"/>
    <cellStyle name="60% - Accent2 2 11" xfId="1367"/>
    <cellStyle name="60% - Accent2 2 12" xfId="1368"/>
    <cellStyle name="60% - Accent2 2 13" xfId="1369"/>
    <cellStyle name="60% - Accent2 2 14" xfId="1370"/>
    <cellStyle name="60% - Accent2 2 15" xfId="1371"/>
    <cellStyle name="60% - Accent2 2 16" xfId="1372"/>
    <cellStyle name="60% - Accent2 2 17" xfId="1373"/>
    <cellStyle name="60% - Accent2 2 18" xfId="1374"/>
    <cellStyle name="60% - Accent2 2 19" xfId="1375"/>
    <cellStyle name="60% - Accent2 2 2" xfId="1376"/>
    <cellStyle name="60% - Accent2 2 3" xfId="1377"/>
    <cellStyle name="60% - Accent2 2 4" xfId="1378"/>
    <cellStyle name="60% - Accent2 2 5" xfId="1379"/>
    <cellStyle name="60% - Accent2 2 6" xfId="1380"/>
    <cellStyle name="60% - Accent2 2 7" xfId="1381"/>
    <cellStyle name="60% - Accent2 2 8" xfId="1382"/>
    <cellStyle name="60% - Accent2 2 9" xfId="1383"/>
    <cellStyle name="60% - Accent2 20" xfId="1384"/>
    <cellStyle name="60% - Accent2 21" xfId="1385"/>
    <cellStyle name="60% - Accent2 22" xfId="1386"/>
    <cellStyle name="60% - Accent2 23" xfId="1387"/>
    <cellStyle name="60% - Accent2 24" xfId="1388"/>
    <cellStyle name="60% - Accent2 25" xfId="1389"/>
    <cellStyle name="60% - Accent2 26" xfId="1390"/>
    <cellStyle name="60% - Accent2 27" xfId="1391"/>
    <cellStyle name="60% - Accent2 28" xfId="1392"/>
    <cellStyle name="60% - Accent2 29" xfId="1393"/>
    <cellStyle name="60% - Accent2 3" xfId="1394"/>
    <cellStyle name="60% - Accent2 3 10" xfId="1395"/>
    <cellStyle name="60% - Accent2 3 11" xfId="1396"/>
    <cellStyle name="60% - Accent2 3 12" xfId="1397"/>
    <cellStyle name="60% - Accent2 3 13" xfId="1398"/>
    <cellStyle name="60% - Accent2 3 14" xfId="1399"/>
    <cellStyle name="60% - Accent2 3 15" xfId="1400"/>
    <cellStyle name="60% - Accent2 3 16" xfId="1401"/>
    <cellStyle name="60% - Accent2 3 17" xfId="1402"/>
    <cellStyle name="60% - Accent2 3 18" xfId="1403"/>
    <cellStyle name="60% - Accent2 3 19" xfId="1404"/>
    <cellStyle name="60% - Accent2 3 2" xfId="1405"/>
    <cellStyle name="60% - Accent2 3 3" xfId="1406"/>
    <cellStyle name="60% - Accent2 3 4" xfId="1407"/>
    <cellStyle name="60% - Accent2 3 5" xfId="1408"/>
    <cellStyle name="60% - Accent2 3 6" xfId="1409"/>
    <cellStyle name="60% - Accent2 3 7" xfId="1410"/>
    <cellStyle name="60% - Accent2 3 8" xfId="1411"/>
    <cellStyle name="60% - Accent2 3 9" xfId="1412"/>
    <cellStyle name="60% - Accent2 30" xfId="1413"/>
    <cellStyle name="60% - Accent2 31" xfId="1414"/>
    <cellStyle name="60% - Accent2 32" xfId="1415"/>
    <cellStyle name="60% - Accent2 33" xfId="1416"/>
    <cellStyle name="60% - Accent2 34" xfId="1417"/>
    <cellStyle name="60% - Accent2 35" xfId="1418"/>
    <cellStyle name="60% - Accent2 36" xfId="1419"/>
    <cellStyle name="60% - Accent2 37" xfId="1420"/>
    <cellStyle name="60% - Accent2 38" xfId="1421"/>
    <cellStyle name="60% - Accent2 39" xfId="1422"/>
    <cellStyle name="60% - Accent2 4" xfId="1423"/>
    <cellStyle name="60% - Accent2 4 10" xfId="1424"/>
    <cellStyle name="60% - Accent2 4 11" xfId="1425"/>
    <cellStyle name="60% - Accent2 4 12" xfId="1426"/>
    <cellStyle name="60% - Accent2 4 13" xfId="1427"/>
    <cellStyle name="60% - Accent2 4 14" xfId="1428"/>
    <cellStyle name="60% - Accent2 4 15" xfId="1429"/>
    <cellStyle name="60% - Accent2 4 16" xfId="1430"/>
    <cellStyle name="60% - Accent2 4 17" xfId="1431"/>
    <cellStyle name="60% - Accent2 4 18" xfId="1432"/>
    <cellStyle name="60% - Accent2 4 19" xfId="1433"/>
    <cellStyle name="60% - Accent2 4 2" xfId="1434"/>
    <cellStyle name="60% - Accent2 4 3" xfId="1435"/>
    <cellStyle name="60% - Accent2 4 4" xfId="1436"/>
    <cellStyle name="60% - Accent2 4 5" xfId="1437"/>
    <cellStyle name="60% - Accent2 4 6" xfId="1438"/>
    <cellStyle name="60% - Accent2 4 7" xfId="1439"/>
    <cellStyle name="60% - Accent2 4 8" xfId="1440"/>
    <cellStyle name="60% - Accent2 4 9" xfId="1441"/>
    <cellStyle name="60% - Accent2 40" xfId="1442"/>
    <cellStyle name="60% - Accent2 41" xfId="1443"/>
    <cellStyle name="60% - Accent2 42" xfId="1444"/>
    <cellStyle name="60% - Accent2 43" xfId="1445"/>
    <cellStyle name="60% - Accent2 44" xfId="1446"/>
    <cellStyle name="60% - Accent2 45" xfId="1447"/>
    <cellStyle name="60% - Accent2 46" xfId="1448"/>
    <cellStyle name="60% - Accent2 47" xfId="1449"/>
    <cellStyle name="60% - Accent2 48" xfId="1450"/>
    <cellStyle name="60% - Accent2 49" xfId="1451"/>
    <cellStyle name="60% - Accent2 5" xfId="1452"/>
    <cellStyle name="60% - Accent2 50" xfId="1453"/>
    <cellStyle name="60% - Accent2 6" xfId="1454"/>
    <cellStyle name="60% - Accent2 7" xfId="1455"/>
    <cellStyle name="60% - Accent2 8" xfId="1456"/>
    <cellStyle name="60% - Accent2 9" xfId="1457"/>
    <cellStyle name="60% - Accent3" xfId="1458" builtinId="40" customBuiltin="1"/>
    <cellStyle name="60% - Accent3 10" xfId="1459"/>
    <cellStyle name="60% - Accent3 11" xfId="1460"/>
    <cellStyle name="60% - Accent3 12" xfId="1461"/>
    <cellStyle name="60% - Accent3 13" xfId="1462"/>
    <cellStyle name="60% - Accent3 14" xfId="1463"/>
    <cellStyle name="60% - Accent3 15" xfId="1464"/>
    <cellStyle name="60% - Accent3 16" xfId="1465"/>
    <cellStyle name="60% - Accent3 17" xfId="1466"/>
    <cellStyle name="60% - Accent3 18" xfId="1467"/>
    <cellStyle name="60% - Accent3 19" xfId="1468"/>
    <cellStyle name="60% - Accent3 2" xfId="1469"/>
    <cellStyle name="60% - Accent3 2 10" xfId="1470"/>
    <cellStyle name="60% - Accent3 2 11" xfId="1471"/>
    <cellStyle name="60% - Accent3 2 12" xfId="1472"/>
    <cellStyle name="60% - Accent3 2 13" xfId="1473"/>
    <cellStyle name="60% - Accent3 2 14" xfId="1474"/>
    <cellStyle name="60% - Accent3 2 15" xfId="1475"/>
    <cellStyle name="60% - Accent3 2 16" xfId="1476"/>
    <cellStyle name="60% - Accent3 2 17" xfId="1477"/>
    <cellStyle name="60% - Accent3 2 18" xfId="1478"/>
    <cellStyle name="60% - Accent3 2 19" xfId="1479"/>
    <cellStyle name="60% - Accent3 2 2" xfId="1480"/>
    <cellStyle name="60% - Accent3 2 3" xfId="1481"/>
    <cellStyle name="60% - Accent3 2 4" xfId="1482"/>
    <cellStyle name="60% - Accent3 2 5" xfId="1483"/>
    <cellStyle name="60% - Accent3 2 6" xfId="1484"/>
    <cellStyle name="60% - Accent3 2 7" xfId="1485"/>
    <cellStyle name="60% - Accent3 2 8" xfId="1486"/>
    <cellStyle name="60% - Accent3 2 9" xfId="1487"/>
    <cellStyle name="60% - Accent3 20" xfId="1488"/>
    <cellStyle name="60% - Accent3 21" xfId="1489"/>
    <cellStyle name="60% - Accent3 22" xfId="1490"/>
    <cellStyle name="60% - Accent3 23" xfId="1491"/>
    <cellStyle name="60% - Accent3 24" xfId="1492"/>
    <cellStyle name="60% - Accent3 25" xfId="1493"/>
    <cellStyle name="60% - Accent3 26" xfId="1494"/>
    <cellStyle name="60% - Accent3 27" xfId="1495"/>
    <cellStyle name="60% - Accent3 28" xfId="1496"/>
    <cellStyle name="60% - Accent3 29" xfId="1497"/>
    <cellStyle name="60% - Accent3 3" xfId="1498"/>
    <cellStyle name="60% - Accent3 3 10" xfId="1499"/>
    <cellStyle name="60% - Accent3 3 11" xfId="1500"/>
    <cellStyle name="60% - Accent3 3 12" xfId="1501"/>
    <cellStyle name="60% - Accent3 3 13" xfId="1502"/>
    <cellStyle name="60% - Accent3 3 14" xfId="1503"/>
    <cellStyle name="60% - Accent3 3 15" xfId="1504"/>
    <cellStyle name="60% - Accent3 3 16" xfId="1505"/>
    <cellStyle name="60% - Accent3 3 17" xfId="1506"/>
    <cellStyle name="60% - Accent3 3 18" xfId="1507"/>
    <cellStyle name="60% - Accent3 3 19" xfId="1508"/>
    <cellStyle name="60% - Accent3 3 2" xfId="1509"/>
    <cellStyle name="60% - Accent3 3 3" xfId="1510"/>
    <cellStyle name="60% - Accent3 3 4" xfId="1511"/>
    <cellStyle name="60% - Accent3 3 5" xfId="1512"/>
    <cellStyle name="60% - Accent3 3 6" xfId="1513"/>
    <cellStyle name="60% - Accent3 3 7" xfId="1514"/>
    <cellStyle name="60% - Accent3 3 8" xfId="1515"/>
    <cellStyle name="60% - Accent3 3 9" xfId="1516"/>
    <cellStyle name="60% - Accent3 30" xfId="1517"/>
    <cellStyle name="60% - Accent3 31" xfId="1518"/>
    <cellStyle name="60% - Accent3 32" xfId="1519"/>
    <cellStyle name="60% - Accent3 33" xfId="1520"/>
    <cellStyle name="60% - Accent3 34" xfId="1521"/>
    <cellStyle name="60% - Accent3 35" xfId="1522"/>
    <cellStyle name="60% - Accent3 36" xfId="1523"/>
    <cellStyle name="60% - Accent3 37" xfId="1524"/>
    <cellStyle name="60% - Accent3 38" xfId="1525"/>
    <cellStyle name="60% - Accent3 39" xfId="1526"/>
    <cellStyle name="60% - Accent3 4" xfId="1527"/>
    <cellStyle name="60% - Accent3 4 10" xfId="1528"/>
    <cellStyle name="60% - Accent3 4 11" xfId="1529"/>
    <cellStyle name="60% - Accent3 4 12" xfId="1530"/>
    <cellStyle name="60% - Accent3 4 13" xfId="1531"/>
    <cellStyle name="60% - Accent3 4 14" xfId="1532"/>
    <cellStyle name="60% - Accent3 4 15" xfId="1533"/>
    <cellStyle name="60% - Accent3 4 16" xfId="1534"/>
    <cellStyle name="60% - Accent3 4 17" xfId="1535"/>
    <cellStyle name="60% - Accent3 4 18" xfId="1536"/>
    <cellStyle name="60% - Accent3 4 19" xfId="1537"/>
    <cellStyle name="60% - Accent3 4 2" xfId="1538"/>
    <cellStyle name="60% - Accent3 4 3" xfId="1539"/>
    <cellStyle name="60% - Accent3 4 4" xfId="1540"/>
    <cellStyle name="60% - Accent3 4 5" xfId="1541"/>
    <cellStyle name="60% - Accent3 4 6" xfId="1542"/>
    <cellStyle name="60% - Accent3 4 7" xfId="1543"/>
    <cellStyle name="60% - Accent3 4 8" xfId="1544"/>
    <cellStyle name="60% - Accent3 4 9" xfId="1545"/>
    <cellStyle name="60% - Accent3 40" xfId="1546"/>
    <cellStyle name="60% - Accent3 41" xfId="1547"/>
    <cellStyle name="60% - Accent3 42" xfId="1548"/>
    <cellStyle name="60% - Accent3 43" xfId="1549"/>
    <cellStyle name="60% - Accent3 44" xfId="1550"/>
    <cellStyle name="60% - Accent3 45" xfId="1551"/>
    <cellStyle name="60% - Accent3 46" xfId="1552"/>
    <cellStyle name="60% - Accent3 47" xfId="1553"/>
    <cellStyle name="60% - Accent3 48" xfId="1554"/>
    <cellStyle name="60% - Accent3 49" xfId="1555"/>
    <cellStyle name="60% - Accent3 5" xfId="1556"/>
    <cellStyle name="60% - Accent3 50" xfId="1557"/>
    <cellStyle name="60% - Accent3 6" xfId="1558"/>
    <cellStyle name="60% - Accent3 7" xfId="1559"/>
    <cellStyle name="60% - Accent3 8" xfId="1560"/>
    <cellStyle name="60% - Accent3 9" xfId="1561"/>
    <cellStyle name="60% - Accent4" xfId="1562" builtinId="44" customBuiltin="1"/>
    <cellStyle name="60% - Accent4 10" xfId="1563"/>
    <cellStyle name="60% - Accent4 11" xfId="1564"/>
    <cellStyle name="60% - Accent4 12" xfId="1565"/>
    <cellStyle name="60% - Accent4 13" xfId="1566"/>
    <cellStyle name="60% - Accent4 14" xfId="1567"/>
    <cellStyle name="60% - Accent4 15" xfId="1568"/>
    <cellStyle name="60% - Accent4 16" xfId="1569"/>
    <cellStyle name="60% - Accent4 17" xfId="1570"/>
    <cellStyle name="60% - Accent4 18" xfId="1571"/>
    <cellStyle name="60% - Accent4 19" xfId="1572"/>
    <cellStyle name="60% - Accent4 2" xfId="1573"/>
    <cellStyle name="60% - Accent4 2 10" xfId="1574"/>
    <cellStyle name="60% - Accent4 2 11" xfId="1575"/>
    <cellStyle name="60% - Accent4 2 12" xfId="1576"/>
    <cellStyle name="60% - Accent4 2 13" xfId="1577"/>
    <cellStyle name="60% - Accent4 2 14" xfId="1578"/>
    <cellStyle name="60% - Accent4 2 15" xfId="1579"/>
    <cellStyle name="60% - Accent4 2 16" xfId="1580"/>
    <cellStyle name="60% - Accent4 2 17" xfId="1581"/>
    <cellStyle name="60% - Accent4 2 18" xfId="1582"/>
    <cellStyle name="60% - Accent4 2 19" xfId="1583"/>
    <cellStyle name="60% - Accent4 2 2" xfId="1584"/>
    <cellStyle name="60% - Accent4 2 3" xfId="1585"/>
    <cellStyle name="60% - Accent4 2 4" xfId="1586"/>
    <cellStyle name="60% - Accent4 2 5" xfId="1587"/>
    <cellStyle name="60% - Accent4 2 6" xfId="1588"/>
    <cellStyle name="60% - Accent4 2 7" xfId="1589"/>
    <cellStyle name="60% - Accent4 2 8" xfId="1590"/>
    <cellStyle name="60% - Accent4 2 9" xfId="1591"/>
    <cellStyle name="60% - Accent4 20" xfId="1592"/>
    <cellStyle name="60% - Accent4 21" xfId="1593"/>
    <cellStyle name="60% - Accent4 22" xfId="1594"/>
    <cellStyle name="60% - Accent4 23" xfId="1595"/>
    <cellStyle name="60% - Accent4 24" xfId="1596"/>
    <cellStyle name="60% - Accent4 25" xfId="1597"/>
    <cellStyle name="60% - Accent4 26" xfId="1598"/>
    <cellStyle name="60% - Accent4 27" xfId="1599"/>
    <cellStyle name="60% - Accent4 28" xfId="1600"/>
    <cellStyle name="60% - Accent4 29" xfId="1601"/>
    <cellStyle name="60% - Accent4 3" xfId="1602"/>
    <cellStyle name="60% - Accent4 3 10" xfId="1603"/>
    <cellStyle name="60% - Accent4 3 11" xfId="1604"/>
    <cellStyle name="60% - Accent4 3 12" xfId="1605"/>
    <cellStyle name="60% - Accent4 3 13" xfId="1606"/>
    <cellStyle name="60% - Accent4 3 14" xfId="1607"/>
    <cellStyle name="60% - Accent4 3 15" xfId="1608"/>
    <cellStyle name="60% - Accent4 3 16" xfId="1609"/>
    <cellStyle name="60% - Accent4 3 17" xfId="1610"/>
    <cellStyle name="60% - Accent4 3 18" xfId="1611"/>
    <cellStyle name="60% - Accent4 3 19" xfId="1612"/>
    <cellStyle name="60% - Accent4 3 2" xfId="1613"/>
    <cellStyle name="60% - Accent4 3 3" xfId="1614"/>
    <cellStyle name="60% - Accent4 3 4" xfId="1615"/>
    <cellStyle name="60% - Accent4 3 5" xfId="1616"/>
    <cellStyle name="60% - Accent4 3 6" xfId="1617"/>
    <cellStyle name="60% - Accent4 3 7" xfId="1618"/>
    <cellStyle name="60% - Accent4 3 8" xfId="1619"/>
    <cellStyle name="60% - Accent4 3 9" xfId="1620"/>
    <cellStyle name="60% - Accent4 30" xfId="1621"/>
    <cellStyle name="60% - Accent4 31" xfId="1622"/>
    <cellStyle name="60% - Accent4 32" xfId="1623"/>
    <cellStyle name="60% - Accent4 33" xfId="1624"/>
    <cellStyle name="60% - Accent4 34" xfId="1625"/>
    <cellStyle name="60% - Accent4 35" xfId="1626"/>
    <cellStyle name="60% - Accent4 36" xfId="1627"/>
    <cellStyle name="60% - Accent4 37" xfId="1628"/>
    <cellStyle name="60% - Accent4 38" xfId="1629"/>
    <cellStyle name="60% - Accent4 39" xfId="1630"/>
    <cellStyle name="60% - Accent4 4" xfId="1631"/>
    <cellStyle name="60% - Accent4 4 10" xfId="1632"/>
    <cellStyle name="60% - Accent4 4 11" xfId="1633"/>
    <cellStyle name="60% - Accent4 4 12" xfId="1634"/>
    <cellStyle name="60% - Accent4 4 13" xfId="1635"/>
    <cellStyle name="60% - Accent4 4 14" xfId="1636"/>
    <cellStyle name="60% - Accent4 4 15" xfId="1637"/>
    <cellStyle name="60% - Accent4 4 16" xfId="1638"/>
    <cellStyle name="60% - Accent4 4 17" xfId="1639"/>
    <cellStyle name="60% - Accent4 4 18" xfId="1640"/>
    <cellStyle name="60% - Accent4 4 19" xfId="1641"/>
    <cellStyle name="60% - Accent4 4 2" xfId="1642"/>
    <cellStyle name="60% - Accent4 4 3" xfId="1643"/>
    <cellStyle name="60% - Accent4 4 4" xfId="1644"/>
    <cellStyle name="60% - Accent4 4 5" xfId="1645"/>
    <cellStyle name="60% - Accent4 4 6" xfId="1646"/>
    <cellStyle name="60% - Accent4 4 7" xfId="1647"/>
    <cellStyle name="60% - Accent4 4 8" xfId="1648"/>
    <cellStyle name="60% - Accent4 4 9" xfId="1649"/>
    <cellStyle name="60% - Accent4 40" xfId="1650"/>
    <cellStyle name="60% - Accent4 41" xfId="1651"/>
    <cellStyle name="60% - Accent4 42" xfId="1652"/>
    <cellStyle name="60% - Accent4 43" xfId="1653"/>
    <cellStyle name="60% - Accent4 44" xfId="1654"/>
    <cellStyle name="60% - Accent4 45" xfId="1655"/>
    <cellStyle name="60% - Accent4 46" xfId="1656"/>
    <cellStyle name="60% - Accent4 47" xfId="1657"/>
    <cellStyle name="60% - Accent4 48" xfId="1658"/>
    <cellStyle name="60% - Accent4 49" xfId="1659"/>
    <cellStyle name="60% - Accent4 5" xfId="1660"/>
    <cellStyle name="60% - Accent4 50" xfId="1661"/>
    <cellStyle name="60% - Accent4 6" xfId="1662"/>
    <cellStyle name="60% - Accent4 7" xfId="1663"/>
    <cellStyle name="60% - Accent4 8" xfId="1664"/>
    <cellStyle name="60% - Accent4 9" xfId="1665"/>
    <cellStyle name="60% - Accent5" xfId="1666" builtinId="48" customBuiltin="1"/>
    <cellStyle name="60% - Accent5 10" xfId="1667"/>
    <cellStyle name="60% - Accent5 11" xfId="1668"/>
    <cellStyle name="60% - Accent5 12" xfId="1669"/>
    <cellStyle name="60% - Accent5 13" xfId="1670"/>
    <cellStyle name="60% - Accent5 14" xfId="1671"/>
    <cellStyle name="60% - Accent5 15" xfId="1672"/>
    <cellStyle name="60% - Accent5 16" xfId="1673"/>
    <cellStyle name="60% - Accent5 17" xfId="1674"/>
    <cellStyle name="60% - Accent5 18" xfId="1675"/>
    <cellStyle name="60% - Accent5 19" xfId="1676"/>
    <cellStyle name="60% - Accent5 2" xfId="1677"/>
    <cellStyle name="60% - Accent5 2 10" xfId="1678"/>
    <cellStyle name="60% - Accent5 2 11" xfId="1679"/>
    <cellStyle name="60% - Accent5 2 12" xfId="1680"/>
    <cellStyle name="60% - Accent5 2 13" xfId="1681"/>
    <cellStyle name="60% - Accent5 2 14" xfId="1682"/>
    <cellStyle name="60% - Accent5 2 15" xfId="1683"/>
    <cellStyle name="60% - Accent5 2 16" xfId="1684"/>
    <cellStyle name="60% - Accent5 2 17" xfId="1685"/>
    <cellStyle name="60% - Accent5 2 18" xfId="1686"/>
    <cellStyle name="60% - Accent5 2 19" xfId="1687"/>
    <cellStyle name="60% - Accent5 2 2" xfId="1688"/>
    <cellStyle name="60% - Accent5 2 3" xfId="1689"/>
    <cellStyle name="60% - Accent5 2 4" xfId="1690"/>
    <cellStyle name="60% - Accent5 2 5" xfId="1691"/>
    <cellStyle name="60% - Accent5 2 6" xfId="1692"/>
    <cellStyle name="60% - Accent5 2 7" xfId="1693"/>
    <cellStyle name="60% - Accent5 2 8" xfId="1694"/>
    <cellStyle name="60% - Accent5 2 9" xfId="1695"/>
    <cellStyle name="60% - Accent5 20" xfId="1696"/>
    <cellStyle name="60% - Accent5 21" xfId="1697"/>
    <cellStyle name="60% - Accent5 22" xfId="1698"/>
    <cellStyle name="60% - Accent5 23" xfId="1699"/>
    <cellStyle name="60% - Accent5 24" xfId="1700"/>
    <cellStyle name="60% - Accent5 25" xfId="1701"/>
    <cellStyle name="60% - Accent5 26" xfId="1702"/>
    <cellStyle name="60% - Accent5 27" xfId="1703"/>
    <cellStyle name="60% - Accent5 28" xfId="1704"/>
    <cellStyle name="60% - Accent5 29" xfId="1705"/>
    <cellStyle name="60% - Accent5 3" xfId="1706"/>
    <cellStyle name="60% - Accent5 3 10" xfId="1707"/>
    <cellStyle name="60% - Accent5 3 11" xfId="1708"/>
    <cellStyle name="60% - Accent5 3 12" xfId="1709"/>
    <cellStyle name="60% - Accent5 3 13" xfId="1710"/>
    <cellStyle name="60% - Accent5 3 14" xfId="1711"/>
    <cellStyle name="60% - Accent5 3 15" xfId="1712"/>
    <cellStyle name="60% - Accent5 3 16" xfId="1713"/>
    <cellStyle name="60% - Accent5 3 17" xfId="1714"/>
    <cellStyle name="60% - Accent5 3 18" xfId="1715"/>
    <cellStyle name="60% - Accent5 3 19" xfId="1716"/>
    <cellStyle name="60% - Accent5 3 2" xfId="1717"/>
    <cellStyle name="60% - Accent5 3 3" xfId="1718"/>
    <cellStyle name="60% - Accent5 3 4" xfId="1719"/>
    <cellStyle name="60% - Accent5 3 5" xfId="1720"/>
    <cellStyle name="60% - Accent5 3 6" xfId="1721"/>
    <cellStyle name="60% - Accent5 3 7" xfId="1722"/>
    <cellStyle name="60% - Accent5 3 8" xfId="1723"/>
    <cellStyle name="60% - Accent5 3 9" xfId="1724"/>
    <cellStyle name="60% - Accent5 30" xfId="1725"/>
    <cellStyle name="60% - Accent5 31" xfId="1726"/>
    <cellStyle name="60% - Accent5 32" xfId="1727"/>
    <cellStyle name="60% - Accent5 33" xfId="1728"/>
    <cellStyle name="60% - Accent5 34" xfId="1729"/>
    <cellStyle name="60% - Accent5 35" xfId="1730"/>
    <cellStyle name="60% - Accent5 36" xfId="1731"/>
    <cellStyle name="60% - Accent5 37" xfId="1732"/>
    <cellStyle name="60% - Accent5 38" xfId="1733"/>
    <cellStyle name="60% - Accent5 39" xfId="1734"/>
    <cellStyle name="60% - Accent5 4" xfId="1735"/>
    <cellStyle name="60% - Accent5 4 10" xfId="1736"/>
    <cellStyle name="60% - Accent5 4 11" xfId="1737"/>
    <cellStyle name="60% - Accent5 4 12" xfId="1738"/>
    <cellStyle name="60% - Accent5 4 13" xfId="1739"/>
    <cellStyle name="60% - Accent5 4 14" xfId="1740"/>
    <cellStyle name="60% - Accent5 4 15" xfId="1741"/>
    <cellStyle name="60% - Accent5 4 16" xfId="1742"/>
    <cellStyle name="60% - Accent5 4 17" xfId="1743"/>
    <cellStyle name="60% - Accent5 4 18" xfId="1744"/>
    <cellStyle name="60% - Accent5 4 19" xfId="1745"/>
    <cellStyle name="60% - Accent5 4 2" xfId="1746"/>
    <cellStyle name="60% - Accent5 4 3" xfId="1747"/>
    <cellStyle name="60% - Accent5 4 4" xfId="1748"/>
    <cellStyle name="60% - Accent5 4 5" xfId="1749"/>
    <cellStyle name="60% - Accent5 4 6" xfId="1750"/>
    <cellStyle name="60% - Accent5 4 7" xfId="1751"/>
    <cellStyle name="60% - Accent5 4 8" xfId="1752"/>
    <cellStyle name="60% - Accent5 4 9" xfId="1753"/>
    <cellStyle name="60% - Accent5 40" xfId="1754"/>
    <cellStyle name="60% - Accent5 41" xfId="1755"/>
    <cellStyle name="60% - Accent5 42" xfId="1756"/>
    <cellStyle name="60% - Accent5 43" xfId="1757"/>
    <cellStyle name="60% - Accent5 44" xfId="1758"/>
    <cellStyle name="60% - Accent5 45" xfId="1759"/>
    <cellStyle name="60% - Accent5 46" xfId="1760"/>
    <cellStyle name="60% - Accent5 47" xfId="1761"/>
    <cellStyle name="60% - Accent5 48" xfId="1762"/>
    <cellStyle name="60% - Accent5 49" xfId="1763"/>
    <cellStyle name="60% - Accent5 5" xfId="1764"/>
    <cellStyle name="60% - Accent5 50" xfId="1765"/>
    <cellStyle name="60% - Accent5 6" xfId="1766"/>
    <cellStyle name="60% - Accent5 7" xfId="1767"/>
    <cellStyle name="60% - Accent5 8" xfId="1768"/>
    <cellStyle name="60% - Accent5 9" xfId="1769"/>
    <cellStyle name="60% - Accent6" xfId="1770" builtinId="52" customBuiltin="1"/>
    <cellStyle name="60% - Accent6 10" xfId="1771"/>
    <cellStyle name="60% - Accent6 11" xfId="1772"/>
    <cellStyle name="60% - Accent6 12" xfId="1773"/>
    <cellStyle name="60% - Accent6 13" xfId="1774"/>
    <cellStyle name="60% - Accent6 14" xfId="1775"/>
    <cellStyle name="60% - Accent6 15" xfId="1776"/>
    <cellStyle name="60% - Accent6 16" xfId="1777"/>
    <cellStyle name="60% - Accent6 17" xfId="1778"/>
    <cellStyle name="60% - Accent6 18" xfId="1779"/>
    <cellStyle name="60% - Accent6 19" xfId="1780"/>
    <cellStyle name="60% - Accent6 2" xfId="1781"/>
    <cellStyle name="60% - Accent6 2 10" xfId="1782"/>
    <cellStyle name="60% - Accent6 2 11" xfId="1783"/>
    <cellStyle name="60% - Accent6 2 12" xfId="1784"/>
    <cellStyle name="60% - Accent6 2 13" xfId="1785"/>
    <cellStyle name="60% - Accent6 2 14" xfId="1786"/>
    <cellStyle name="60% - Accent6 2 15" xfId="1787"/>
    <cellStyle name="60% - Accent6 2 16" xfId="1788"/>
    <cellStyle name="60% - Accent6 2 17" xfId="1789"/>
    <cellStyle name="60% - Accent6 2 18" xfId="1790"/>
    <cellStyle name="60% - Accent6 2 19" xfId="1791"/>
    <cellStyle name="60% - Accent6 2 2" xfId="1792"/>
    <cellStyle name="60% - Accent6 2 3" xfId="1793"/>
    <cellStyle name="60% - Accent6 2 4" xfId="1794"/>
    <cellStyle name="60% - Accent6 2 5" xfId="1795"/>
    <cellStyle name="60% - Accent6 2 6" xfId="1796"/>
    <cellStyle name="60% - Accent6 2 7" xfId="1797"/>
    <cellStyle name="60% - Accent6 2 8" xfId="1798"/>
    <cellStyle name="60% - Accent6 2 9" xfId="1799"/>
    <cellStyle name="60% - Accent6 20" xfId="1800"/>
    <cellStyle name="60% - Accent6 21" xfId="1801"/>
    <cellStyle name="60% - Accent6 22" xfId="1802"/>
    <cellStyle name="60% - Accent6 23" xfId="1803"/>
    <cellStyle name="60% - Accent6 24" xfId="1804"/>
    <cellStyle name="60% - Accent6 25" xfId="1805"/>
    <cellStyle name="60% - Accent6 26" xfId="1806"/>
    <cellStyle name="60% - Accent6 27" xfId="1807"/>
    <cellStyle name="60% - Accent6 28" xfId="1808"/>
    <cellStyle name="60% - Accent6 29" xfId="1809"/>
    <cellStyle name="60% - Accent6 3" xfId="1810"/>
    <cellStyle name="60% - Accent6 3 10" xfId="1811"/>
    <cellStyle name="60% - Accent6 3 11" xfId="1812"/>
    <cellStyle name="60% - Accent6 3 12" xfId="1813"/>
    <cellStyle name="60% - Accent6 3 13" xfId="1814"/>
    <cellStyle name="60% - Accent6 3 14" xfId="1815"/>
    <cellStyle name="60% - Accent6 3 15" xfId="1816"/>
    <cellStyle name="60% - Accent6 3 16" xfId="1817"/>
    <cellStyle name="60% - Accent6 3 17" xfId="1818"/>
    <cellStyle name="60% - Accent6 3 18" xfId="1819"/>
    <cellStyle name="60% - Accent6 3 19" xfId="1820"/>
    <cellStyle name="60% - Accent6 3 2" xfId="1821"/>
    <cellStyle name="60% - Accent6 3 3" xfId="1822"/>
    <cellStyle name="60% - Accent6 3 4" xfId="1823"/>
    <cellStyle name="60% - Accent6 3 5" xfId="1824"/>
    <cellStyle name="60% - Accent6 3 6" xfId="1825"/>
    <cellStyle name="60% - Accent6 3 7" xfId="1826"/>
    <cellStyle name="60% - Accent6 3 8" xfId="1827"/>
    <cellStyle name="60% - Accent6 3 9" xfId="1828"/>
    <cellStyle name="60% - Accent6 30" xfId="1829"/>
    <cellStyle name="60% - Accent6 31" xfId="1830"/>
    <cellStyle name="60% - Accent6 32" xfId="1831"/>
    <cellStyle name="60% - Accent6 33" xfId="1832"/>
    <cellStyle name="60% - Accent6 34" xfId="1833"/>
    <cellStyle name="60% - Accent6 35" xfId="1834"/>
    <cellStyle name="60% - Accent6 36" xfId="1835"/>
    <cellStyle name="60% - Accent6 37" xfId="1836"/>
    <cellStyle name="60% - Accent6 38" xfId="1837"/>
    <cellStyle name="60% - Accent6 39" xfId="1838"/>
    <cellStyle name="60% - Accent6 4" xfId="1839"/>
    <cellStyle name="60% - Accent6 4 10" xfId="1840"/>
    <cellStyle name="60% - Accent6 4 11" xfId="1841"/>
    <cellStyle name="60% - Accent6 4 12" xfId="1842"/>
    <cellStyle name="60% - Accent6 4 13" xfId="1843"/>
    <cellStyle name="60% - Accent6 4 14" xfId="1844"/>
    <cellStyle name="60% - Accent6 4 15" xfId="1845"/>
    <cellStyle name="60% - Accent6 4 16" xfId="1846"/>
    <cellStyle name="60% - Accent6 4 17" xfId="1847"/>
    <cellStyle name="60% - Accent6 4 18" xfId="1848"/>
    <cellStyle name="60% - Accent6 4 19" xfId="1849"/>
    <cellStyle name="60% - Accent6 4 2" xfId="1850"/>
    <cellStyle name="60% - Accent6 4 3" xfId="1851"/>
    <cellStyle name="60% - Accent6 4 4" xfId="1852"/>
    <cellStyle name="60% - Accent6 4 5" xfId="1853"/>
    <cellStyle name="60% - Accent6 4 6" xfId="1854"/>
    <cellStyle name="60% - Accent6 4 7" xfId="1855"/>
    <cellStyle name="60% - Accent6 4 8" xfId="1856"/>
    <cellStyle name="60% - Accent6 4 9" xfId="1857"/>
    <cellStyle name="60% - Accent6 40" xfId="1858"/>
    <cellStyle name="60% - Accent6 41" xfId="1859"/>
    <cellStyle name="60% - Accent6 42" xfId="1860"/>
    <cellStyle name="60% - Accent6 43" xfId="1861"/>
    <cellStyle name="60% - Accent6 44" xfId="1862"/>
    <cellStyle name="60% - Accent6 45" xfId="1863"/>
    <cellStyle name="60% - Accent6 46" xfId="1864"/>
    <cellStyle name="60% - Accent6 47" xfId="1865"/>
    <cellStyle name="60% - Accent6 48" xfId="1866"/>
    <cellStyle name="60% - Accent6 49" xfId="1867"/>
    <cellStyle name="60% - Accent6 5" xfId="1868"/>
    <cellStyle name="60% - Accent6 50" xfId="1869"/>
    <cellStyle name="60% - Accent6 6" xfId="1870"/>
    <cellStyle name="60% - Accent6 7" xfId="1871"/>
    <cellStyle name="60% - Accent6 8" xfId="1872"/>
    <cellStyle name="60% - Accent6 9" xfId="1873"/>
    <cellStyle name="Accent1" xfId="1874" builtinId="29" customBuiltin="1"/>
    <cellStyle name="Accent1 10" xfId="1875"/>
    <cellStyle name="Accent1 11" xfId="1876"/>
    <cellStyle name="Accent1 12" xfId="1877"/>
    <cellStyle name="Accent1 13" xfId="1878"/>
    <cellStyle name="Accent1 14" xfId="1879"/>
    <cellStyle name="Accent1 15" xfId="1880"/>
    <cellStyle name="Accent1 16" xfId="1881"/>
    <cellStyle name="Accent1 17" xfId="1882"/>
    <cellStyle name="Accent1 18" xfId="1883"/>
    <cellStyle name="Accent1 19" xfId="1884"/>
    <cellStyle name="Accent1 2" xfId="1885"/>
    <cellStyle name="Accent1 2 10" xfId="1886"/>
    <cellStyle name="Accent1 2 11" xfId="1887"/>
    <cellStyle name="Accent1 2 12" xfId="1888"/>
    <cellStyle name="Accent1 2 13" xfId="1889"/>
    <cellStyle name="Accent1 2 14" xfId="1890"/>
    <cellStyle name="Accent1 2 15" xfId="1891"/>
    <cellStyle name="Accent1 2 16" xfId="1892"/>
    <cellStyle name="Accent1 2 17" xfId="1893"/>
    <cellStyle name="Accent1 2 18" xfId="1894"/>
    <cellStyle name="Accent1 2 19" xfId="1895"/>
    <cellStyle name="Accent1 2 2" xfId="1896"/>
    <cellStyle name="Accent1 2 3" xfId="1897"/>
    <cellStyle name="Accent1 2 4" xfId="1898"/>
    <cellStyle name="Accent1 2 5" xfId="1899"/>
    <cellStyle name="Accent1 2 6" xfId="1900"/>
    <cellStyle name="Accent1 2 7" xfId="1901"/>
    <cellStyle name="Accent1 2 8" xfId="1902"/>
    <cellStyle name="Accent1 2 9" xfId="1903"/>
    <cellStyle name="Accent1 20" xfId="1904"/>
    <cellStyle name="Accent1 21" xfId="1905"/>
    <cellStyle name="Accent1 22" xfId="1906"/>
    <cellStyle name="Accent1 23" xfId="1907"/>
    <cellStyle name="Accent1 24" xfId="1908"/>
    <cellStyle name="Accent1 25" xfId="1909"/>
    <cellStyle name="Accent1 26" xfId="1910"/>
    <cellStyle name="Accent1 27" xfId="1911"/>
    <cellStyle name="Accent1 28" xfId="1912"/>
    <cellStyle name="Accent1 29" xfId="1913"/>
    <cellStyle name="Accent1 3" xfId="1914"/>
    <cellStyle name="Accent1 3 10" xfId="1915"/>
    <cellStyle name="Accent1 3 11" xfId="1916"/>
    <cellStyle name="Accent1 3 12" xfId="1917"/>
    <cellStyle name="Accent1 3 13" xfId="1918"/>
    <cellStyle name="Accent1 3 14" xfId="1919"/>
    <cellStyle name="Accent1 3 15" xfId="1920"/>
    <cellStyle name="Accent1 3 16" xfId="1921"/>
    <cellStyle name="Accent1 3 17" xfId="1922"/>
    <cellStyle name="Accent1 3 18" xfId="1923"/>
    <cellStyle name="Accent1 3 19" xfId="1924"/>
    <cellStyle name="Accent1 3 2" xfId="1925"/>
    <cellStyle name="Accent1 3 3" xfId="1926"/>
    <cellStyle name="Accent1 3 4" xfId="1927"/>
    <cellStyle name="Accent1 3 5" xfId="1928"/>
    <cellStyle name="Accent1 3 6" xfId="1929"/>
    <cellStyle name="Accent1 3 7" xfId="1930"/>
    <cellStyle name="Accent1 3 8" xfId="1931"/>
    <cellStyle name="Accent1 3 9" xfId="1932"/>
    <cellStyle name="Accent1 30" xfId="1933"/>
    <cellStyle name="Accent1 31" xfId="1934"/>
    <cellStyle name="Accent1 32" xfId="1935"/>
    <cellStyle name="Accent1 33" xfId="1936"/>
    <cellStyle name="Accent1 34" xfId="1937"/>
    <cellStyle name="Accent1 35" xfId="1938"/>
    <cellStyle name="Accent1 36" xfId="1939"/>
    <cellStyle name="Accent1 37" xfId="1940"/>
    <cellStyle name="Accent1 38" xfId="1941"/>
    <cellStyle name="Accent1 39" xfId="1942"/>
    <cellStyle name="Accent1 4" xfId="1943"/>
    <cellStyle name="Accent1 4 10" xfId="1944"/>
    <cellStyle name="Accent1 4 11" xfId="1945"/>
    <cellStyle name="Accent1 4 12" xfId="1946"/>
    <cellStyle name="Accent1 4 13" xfId="1947"/>
    <cellStyle name="Accent1 4 14" xfId="1948"/>
    <cellStyle name="Accent1 4 15" xfId="1949"/>
    <cellStyle name="Accent1 4 16" xfId="1950"/>
    <cellStyle name="Accent1 4 17" xfId="1951"/>
    <cellStyle name="Accent1 4 18" xfId="1952"/>
    <cellStyle name="Accent1 4 19" xfId="1953"/>
    <cellStyle name="Accent1 4 2" xfId="1954"/>
    <cellStyle name="Accent1 4 3" xfId="1955"/>
    <cellStyle name="Accent1 4 4" xfId="1956"/>
    <cellStyle name="Accent1 4 5" xfId="1957"/>
    <cellStyle name="Accent1 4 6" xfId="1958"/>
    <cellStyle name="Accent1 4 7" xfId="1959"/>
    <cellStyle name="Accent1 4 8" xfId="1960"/>
    <cellStyle name="Accent1 4 9" xfId="1961"/>
    <cellStyle name="Accent1 40" xfId="1962"/>
    <cellStyle name="Accent1 41" xfId="1963"/>
    <cellStyle name="Accent1 42" xfId="1964"/>
    <cellStyle name="Accent1 43" xfId="1965"/>
    <cellStyle name="Accent1 44" xfId="1966"/>
    <cellStyle name="Accent1 45" xfId="1967"/>
    <cellStyle name="Accent1 46" xfId="1968"/>
    <cellStyle name="Accent1 47" xfId="1969"/>
    <cellStyle name="Accent1 48" xfId="1970"/>
    <cellStyle name="Accent1 49" xfId="1971"/>
    <cellStyle name="Accent1 5" xfId="1972"/>
    <cellStyle name="Accent1 50" xfId="1973"/>
    <cellStyle name="Accent1 6" xfId="1974"/>
    <cellStyle name="Accent1 7" xfId="1975"/>
    <cellStyle name="Accent1 8" xfId="1976"/>
    <cellStyle name="Accent1 9" xfId="1977"/>
    <cellStyle name="Accent2" xfId="1978" builtinId="33" customBuiltin="1"/>
    <cellStyle name="Accent2 10" xfId="1979"/>
    <cellStyle name="Accent2 11" xfId="1980"/>
    <cellStyle name="Accent2 12" xfId="1981"/>
    <cellStyle name="Accent2 13" xfId="1982"/>
    <cellStyle name="Accent2 14" xfId="1983"/>
    <cellStyle name="Accent2 15" xfId="1984"/>
    <cellStyle name="Accent2 16" xfId="1985"/>
    <cellStyle name="Accent2 17" xfId="1986"/>
    <cellStyle name="Accent2 18" xfId="1987"/>
    <cellStyle name="Accent2 19" xfId="1988"/>
    <cellStyle name="Accent2 2" xfId="1989"/>
    <cellStyle name="Accent2 2 10" xfId="1990"/>
    <cellStyle name="Accent2 2 11" xfId="1991"/>
    <cellStyle name="Accent2 2 12" xfId="1992"/>
    <cellStyle name="Accent2 2 13" xfId="1993"/>
    <cellStyle name="Accent2 2 14" xfId="1994"/>
    <cellStyle name="Accent2 2 15" xfId="1995"/>
    <cellStyle name="Accent2 2 16" xfId="1996"/>
    <cellStyle name="Accent2 2 17" xfId="1997"/>
    <cellStyle name="Accent2 2 18" xfId="1998"/>
    <cellStyle name="Accent2 2 19" xfId="1999"/>
    <cellStyle name="Accent2 2 2" xfId="2000"/>
    <cellStyle name="Accent2 2 3" xfId="2001"/>
    <cellStyle name="Accent2 2 4" xfId="2002"/>
    <cellStyle name="Accent2 2 5" xfId="2003"/>
    <cellStyle name="Accent2 2 6" xfId="2004"/>
    <cellStyle name="Accent2 2 7" xfId="2005"/>
    <cellStyle name="Accent2 2 8" xfId="2006"/>
    <cellStyle name="Accent2 2 9" xfId="2007"/>
    <cellStyle name="Accent2 20" xfId="2008"/>
    <cellStyle name="Accent2 21" xfId="2009"/>
    <cellStyle name="Accent2 22" xfId="2010"/>
    <cellStyle name="Accent2 23" xfId="2011"/>
    <cellStyle name="Accent2 24" xfId="2012"/>
    <cellStyle name="Accent2 25" xfId="2013"/>
    <cellStyle name="Accent2 26" xfId="2014"/>
    <cellStyle name="Accent2 27" xfId="2015"/>
    <cellStyle name="Accent2 28" xfId="2016"/>
    <cellStyle name="Accent2 29" xfId="2017"/>
    <cellStyle name="Accent2 3" xfId="2018"/>
    <cellStyle name="Accent2 3 10" xfId="2019"/>
    <cellStyle name="Accent2 3 11" xfId="2020"/>
    <cellStyle name="Accent2 3 12" xfId="2021"/>
    <cellStyle name="Accent2 3 13" xfId="2022"/>
    <cellStyle name="Accent2 3 14" xfId="2023"/>
    <cellStyle name="Accent2 3 15" xfId="2024"/>
    <cellStyle name="Accent2 3 16" xfId="2025"/>
    <cellStyle name="Accent2 3 17" xfId="2026"/>
    <cellStyle name="Accent2 3 18" xfId="2027"/>
    <cellStyle name="Accent2 3 19" xfId="2028"/>
    <cellStyle name="Accent2 3 2" xfId="2029"/>
    <cellStyle name="Accent2 3 3" xfId="2030"/>
    <cellStyle name="Accent2 3 4" xfId="2031"/>
    <cellStyle name="Accent2 3 5" xfId="2032"/>
    <cellStyle name="Accent2 3 6" xfId="2033"/>
    <cellStyle name="Accent2 3 7" xfId="2034"/>
    <cellStyle name="Accent2 3 8" xfId="2035"/>
    <cellStyle name="Accent2 3 9" xfId="2036"/>
    <cellStyle name="Accent2 30" xfId="2037"/>
    <cellStyle name="Accent2 31" xfId="2038"/>
    <cellStyle name="Accent2 32" xfId="2039"/>
    <cellStyle name="Accent2 33" xfId="2040"/>
    <cellStyle name="Accent2 34" xfId="2041"/>
    <cellStyle name="Accent2 35" xfId="2042"/>
    <cellStyle name="Accent2 36" xfId="2043"/>
    <cellStyle name="Accent2 37" xfId="2044"/>
    <cellStyle name="Accent2 38" xfId="2045"/>
    <cellStyle name="Accent2 39" xfId="2046"/>
    <cellStyle name="Accent2 4" xfId="2047"/>
    <cellStyle name="Accent2 4 10" xfId="2048"/>
    <cellStyle name="Accent2 4 11" xfId="2049"/>
    <cellStyle name="Accent2 4 12" xfId="2050"/>
    <cellStyle name="Accent2 4 13" xfId="2051"/>
    <cellStyle name="Accent2 4 14" xfId="2052"/>
    <cellStyle name="Accent2 4 15" xfId="2053"/>
    <cellStyle name="Accent2 4 16" xfId="2054"/>
    <cellStyle name="Accent2 4 17" xfId="2055"/>
    <cellStyle name="Accent2 4 18" xfId="2056"/>
    <cellStyle name="Accent2 4 19" xfId="2057"/>
    <cellStyle name="Accent2 4 2" xfId="2058"/>
    <cellStyle name="Accent2 4 3" xfId="2059"/>
    <cellStyle name="Accent2 4 4" xfId="2060"/>
    <cellStyle name="Accent2 4 5" xfId="2061"/>
    <cellStyle name="Accent2 4 6" xfId="2062"/>
    <cellStyle name="Accent2 4 7" xfId="2063"/>
    <cellStyle name="Accent2 4 8" xfId="2064"/>
    <cellStyle name="Accent2 4 9" xfId="2065"/>
    <cellStyle name="Accent2 40" xfId="2066"/>
    <cellStyle name="Accent2 41" xfId="2067"/>
    <cellStyle name="Accent2 42" xfId="2068"/>
    <cellStyle name="Accent2 43" xfId="2069"/>
    <cellStyle name="Accent2 44" xfId="2070"/>
    <cellStyle name="Accent2 45" xfId="2071"/>
    <cellStyle name="Accent2 46" xfId="2072"/>
    <cellStyle name="Accent2 47" xfId="2073"/>
    <cellStyle name="Accent2 48" xfId="2074"/>
    <cellStyle name="Accent2 49" xfId="2075"/>
    <cellStyle name="Accent2 5" xfId="2076"/>
    <cellStyle name="Accent2 50" xfId="2077"/>
    <cellStyle name="Accent2 6" xfId="2078"/>
    <cellStyle name="Accent2 7" xfId="2079"/>
    <cellStyle name="Accent2 8" xfId="2080"/>
    <cellStyle name="Accent2 9" xfId="2081"/>
    <cellStyle name="Accent3" xfId="2082" builtinId="37" customBuiltin="1"/>
    <cellStyle name="Accent3 10" xfId="2083"/>
    <cellStyle name="Accent3 11" xfId="2084"/>
    <cellStyle name="Accent3 12" xfId="2085"/>
    <cellStyle name="Accent3 13" xfId="2086"/>
    <cellStyle name="Accent3 14" xfId="2087"/>
    <cellStyle name="Accent3 15" xfId="2088"/>
    <cellStyle name="Accent3 16" xfId="2089"/>
    <cellStyle name="Accent3 17" xfId="2090"/>
    <cellStyle name="Accent3 18" xfId="2091"/>
    <cellStyle name="Accent3 19" xfId="2092"/>
    <cellStyle name="Accent3 2" xfId="2093"/>
    <cellStyle name="Accent3 2 10" xfId="2094"/>
    <cellStyle name="Accent3 2 11" xfId="2095"/>
    <cellStyle name="Accent3 2 12" xfId="2096"/>
    <cellStyle name="Accent3 2 13" xfId="2097"/>
    <cellStyle name="Accent3 2 14" xfId="2098"/>
    <cellStyle name="Accent3 2 15" xfId="2099"/>
    <cellStyle name="Accent3 2 16" xfId="2100"/>
    <cellStyle name="Accent3 2 17" xfId="2101"/>
    <cellStyle name="Accent3 2 18" xfId="2102"/>
    <cellStyle name="Accent3 2 19" xfId="2103"/>
    <cellStyle name="Accent3 2 2" xfId="2104"/>
    <cellStyle name="Accent3 2 3" xfId="2105"/>
    <cellStyle name="Accent3 2 4" xfId="2106"/>
    <cellStyle name="Accent3 2 5" xfId="2107"/>
    <cellStyle name="Accent3 2 6" xfId="2108"/>
    <cellStyle name="Accent3 2 7" xfId="2109"/>
    <cellStyle name="Accent3 2 8" xfId="2110"/>
    <cellStyle name="Accent3 2 9" xfId="2111"/>
    <cellStyle name="Accent3 20" xfId="2112"/>
    <cellStyle name="Accent3 21" xfId="2113"/>
    <cellStyle name="Accent3 22" xfId="2114"/>
    <cellStyle name="Accent3 23" xfId="2115"/>
    <cellStyle name="Accent3 24" xfId="2116"/>
    <cellStyle name="Accent3 25" xfId="2117"/>
    <cellStyle name="Accent3 26" xfId="2118"/>
    <cellStyle name="Accent3 27" xfId="2119"/>
    <cellStyle name="Accent3 28" xfId="2120"/>
    <cellStyle name="Accent3 29" xfId="2121"/>
    <cellStyle name="Accent3 3" xfId="2122"/>
    <cellStyle name="Accent3 3 10" xfId="2123"/>
    <cellStyle name="Accent3 3 11" xfId="2124"/>
    <cellStyle name="Accent3 3 12" xfId="2125"/>
    <cellStyle name="Accent3 3 13" xfId="2126"/>
    <cellStyle name="Accent3 3 14" xfId="2127"/>
    <cellStyle name="Accent3 3 15" xfId="2128"/>
    <cellStyle name="Accent3 3 16" xfId="2129"/>
    <cellStyle name="Accent3 3 17" xfId="2130"/>
    <cellStyle name="Accent3 3 18" xfId="2131"/>
    <cellStyle name="Accent3 3 19" xfId="2132"/>
    <cellStyle name="Accent3 3 2" xfId="2133"/>
    <cellStyle name="Accent3 3 3" xfId="2134"/>
    <cellStyle name="Accent3 3 4" xfId="2135"/>
    <cellStyle name="Accent3 3 5" xfId="2136"/>
    <cellStyle name="Accent3 3 6" xfId="2137"/>
    <cellStyle name="Accent3 3 7" xfId="2138"/>
    <cellStyle name="Accent3 3 8" xfId="2139"/>
    <cellStyle name="Accent3 3 9" xfId="2140"/>
    <cellStyle name="Accent3 30" xfId="2141"/>
    <cellStyle name="Accent3 31" xfId="2142"/>
    <cellStyle name="Accent3 32" xfId="2143"/>
    <cellStyle name="Accent3 33" xfId="2144"/>
    <cellStyle name="Accent3 34" xfId="2145"/>
    <cellStyle name="Accent3 35" xfId="2146"/>
    <cellStyle name="Accent3 36" xfId="2147"/>
    <cellStyle name="Accent3 37" xfId="2148"/>
    <cellStyle name="Accent3 38" xfId="2149"/>
    <cellStyle name="Accent3 39" xfId="2150"/>
    <cellStyle name="Accent3 4" xfId="2151"/>
    <cellStyle name="Accent3 4 10" xfId="2152"/>
    <cellStyle name="Accent3 4 11" xfId="2153"/>
    <cellStyle name="Accent3 4 12" xfId="2154"/>
    <cellStyle name="Accent3 4 13" xfId="2155"/>
    <cellStyle name="Accent3 4 14" xfId="2156"/>
    <cellStyle name="Accent3 4 15" xfId="2157"/>
    <cellStyle name="Accent3 4 16" xfId="2158"/>
    <cellStyle name="Accent3 4 17" xfId="2159"/>
    <cellStyle name="Accent3 4 18" xfId="2160"/>
    <cellStyle name="Accent3 4 19" xfId="2161"/>
    <cellStyle name="Accent3 4 2" xfId="2162"/>
    <cellStyle name="Accent3 4 3" xfId="2163"/>
    <cellStyle name="Accent3 4 4" xfId="2164"/>
    <cellStyle name="Accent3 4 5" xfId="2165"/>
    <cellStyle name="Accent3 4 6" xfId="2166"/>
    <cellStyle name="Accent3 4 7" xfId="2167"/>
    <cellStyle name="Accent3 4 8" xfId="2168"/>
    <cellStyle name="Accent3 4 9" xfId="2169"/>
    <cellStyle name="Accent3 40" xfId="2170"/>
    <cellStyle name="Accent3 41" xfId="2171"/>
    <cellStyle name="Accent3 42" xfId="2172"/>
    <cellStyle name="Accent3 43" xfId="2173"/>
    <cellStyle name="Accent3 44" xfId="2174"/>
    <cellStyle name="Accent3 45" xfId="2175"/>
    <cellStyle name="Accent3 46" xfId="2176"/>
    <cellStyle name="Accent3 47" xfId="2177"/>
    <cellStyle name="Accent3 48" xfId="2178"/>
    <cellStyle name="Accent3 49" xfId="2179"/>
    <cellStyle name="Accent3 5" xfId="2180"/>
    <cellStyle name="Accent3 50" xfId="2181"/>
    <cellStyle name="Accent3 6" xfId="2182"/>
    <cellStyle name="Accent3 7" xfId="2183"/>
    <cellStyle name="Accent3 8" xfId="2184"/>
    <cellStyle name="Accent3 9" xfId="2185"/>
    <cellStyle name="Accent4" xfId="2186" builtinId="41" customBuiltin="1"/>
    <cellStyle name="Accent4 10" xfId="2187"/>
    <cellStyle name="Accent4 11" xfId="2188"/>
    <cellStyle name="Accent4 12" xfId="2189"/>
    <cellStyle name="Accent4 13" xfId="2190"/>
    <cellStyle name="Accent4 14" xfId="2191"/>
    <cellStyle name="Accent4 15" xfId="2192"/>
    <cellStyle name="Accent4 16" xfId="2193"/>
    <cellStyle name="Accent4 17" xfId="2194"/>
    <cellStyle name="Accent4 18" xfId="2195"/>
    <cellStyle name="Accent4 19" xfId="2196"/>
    <cellStyle name="Accent4 2" xfId="2197"/>
    <cellStyle name="Accent4 2 10" xfId="2198"/>
    <cellStyle name="Accent4 2 11" xfId="2199"/>
    <cellStyle name="Accent4 2 12" xfId="2200"/>
    <cellStyle name="Accent4 2 13" xfId="2201"/>
    <cellStyle name="Accent4 2 14" xfId="2202"/>
    <cellStyle name="Accent4 2 15" xfId="2203"/>
    <cellStyle name="Accent4 2 16" xfId="2204"/>
    <cellStyle name="Accent4 2 17" xfId="2205"/>
    <cellStyle name="Accent4 2 18" xfId="2206"/>
    <cellStyle name="Accent4 2 19" xfId="2207"/>
    <cellStyle name="Accent4 2 2" xfId="2208"/>
    <cellStyle name="Accent4 2 3" xfId="2209"/>
    <cellStyle name="Accent4 2 4" xfId="2210"/>
    <cellStyle name="Accent4 2 5" xfId="2211"/>
    <cellStyle name="Accent4 2 6" xfId="2212"/>
    <cellStyle name="Accent4 2 7" xfId="2213"/>
    <cellStyle name="Accent4 2 8" xfId="2214"/>
    <cellStyle name="Accent4 2 9" xfId="2215"/>
    <cellStyle name="Accent4 20" xfId="2216"/>
    <cellStyle name="Accent4 21" xfId="2217"/>
    <cellStyle name="Accent4 22" xfId="2218"/>
    <cellStyle name="Accent4 23" xfId="2219"/>
    <cellStyle name="Accent4 24" xfId="2220"/>
    <cellStyle name="Accent4 25" xfId="2221"/>
    <cellStyle name="Accent4 26" xfId="2222"/>
    <cellStyle name="Accent4 27" xfId="2223"/>
    <cellStyle name="Accent4 28" xfId="2224"/>
    <cellStyle name="Accent4 29" xfId="2225"/>
    <cellStyle name="Accent4 3" xfId="2226"/>
    <cellStyle name="Accent4 3 10" xfId="2227"/>
    <cellStyle name="Accent4 3 11" xfId="2228"/>
    <cellStyle name="Accent4 3 12" xfId="2229"/>
    <cellStyle name="Accent4 3 13" xfId="2230"/>
    <cellStyle name="Accent4 3 14" xfId="2231"/>
    <cellStyle name="Accent4 3 15" xfId="2232"/>
    <cellStyle name="Accent4 3 16" xfId="2233"/>
    <cellStyle name="Accent4 3 17" xfId="2234"/>
    <cellStyle name="Accent4 3 18" xfId="2235"/>
    <cellStyle name="Accent4 3 19" xfId="2236"/>
    <cellStyle name="Accent4 3 2" xfId="2237"/>
    <cellStyle name="Accent4 3 3" xfId="2238"/>
    <cellStyle name="Accent4 3 4" xfId="2239"/>
    <cellStyle name="Accent4 3 5" xfId="2240"/>
    <cellStyle name="Accent4 3 6" xfId="2241"/>
    <cellStyle name="Accent4 3 7" xfId="2242"/>
    <cellStyle name="Accent4 3 8" xfId="2243"/>
    <cellStyle name="Accent4 3 9" xfId="2244"/>
    <cellStyle name="Accent4 30" xfId="2245"/>
    <cellStyle name="Accent4 31" xfId="2246"/>
    <cellStyle name="Accent4 32" xfId="2247"/>
    <cellStyle name="Accent4 33" xfId="2248"/>
    <cellStyle name="Accent4 34" xfId="2249"/>
    <cellStyle name="Accent4 35" xfId="2250"/>
    <cellStyle name="Accent4 36" xfId="2251"/>
    <cellStyle name="Accent4 37" xfId="2252"/>
    <cellStyle name="Accent4 38" xfId="2253"/>
    <cellStyle name="Accent4 39" xfId="2254"/>
    <cellStyle name="Accent4 4" xfId="2255"/>
    <cellStyle name="Accent4 4 10" xfId="2256"/>
    <cellStyle name="Accent4 4 11" xfId="2257"/>
    <cellStyle name="Accent4 4 12" xfId="2258"/>
    <cellStyle name="Accent4 4 13" xfId="2259"/>
    <cellStyle name="Accent4 4 14" xfId="2260"/>
    <cellStyle name="Accent4 4 15" xfId="2261"/>
    <cellStyle name="Accent4 4 16" xfId="2262"/>
    <cellStyle name="Accent4 4 17" xfId="2263"/>
    <cellStyle name="Accent4 4 18" xfId="2264"/>
    <cellStyle name="Accent4 4 19" xfId="2265"/>
    <cellStyle name="Accent4 4 2" xfId="2266"/>
    <cellStyle name="Accent4 4 3" xfId="2267"/>
    <cellStyle name="Accent4 4 4" xfId="2268"/>
    <cellStyle name="Accent4 4 5" xfId="2269"/>
    <cellStyle name="Accent4 4 6" xfId="2270"/>
    <cellStyle name="Accent4 4 7" xfId="2271"/>
    <cellStyle name="Accent4 4 8" xfId="2272"/>
    <cellStyle name="Accent4 4 9" xfId="2273"/>
    <cellStyle name="Accent4 40" xfId="2274"/>
    <cellStyle name="Accent4 41" xfId="2275"/>
    <cellStyle name="Accent4 42" xfId="2276"/>
    <cellStyle name="Accent4 43" xfId="2277"/>
    <cellStyle name="Accent4 44" xfId="2278"/>
    <cellStyle name="Accent4 45" xfId="2279"/>
    <cellStyle name="Accent4 46" xfId="2280"/>
    <cellStyle name="Accent4 47" xfId="2281"/>
    <cellStyle name="Accent4 48" xfId="2282"/>
    <cellStyle name="Accent4 49" xfId="2283"/>
    <cellStyle name="Accent4 5" xfId="2284"/>
    <cellStyle name="Accent4 50" xfId="2285"/>
    <cellStyle name="Accent4 6" xfId="2286"/>
    <cellStyle name="Accent4 7" xfId="2287"/>
    <cellStyle name="Accent4 8" xfId="2288"/>
    <cellStyle name="Accent4 9" xfId="2289"/>
    <cellStyle name="Accent5" xfId="2290" builtinId="45" customBuiltin="1"/>
    <cellStyle name="Accent5 10" xfId="2291"/>
    <cellStyle name="Accent5 11" xfId="2292"/>
    <cellStyle name="Accent5 12" xfId="2293"/>
    <cellStyle name="Accent5 13" xfId="2294"/>
    <cellStyle name="Accent5 14" xfId="2295"/>
    <cellStyle name="Accent5 15" xfId="2296"/>
    <cellStyle name="Accent5 16" xfId="2297"/>
    <cellStyle name="Accent5 17" xfId="2298"/>
    <cellStyle name="Accent5 18" xfId="2299"/>
    <cellStyle name="Accent5 19" xfId="2300"/>
    <cellStyle name="Accent5 2" xfId="2301"/>
    <cellStyle name="Accent5 2 10" xfId="2302"/>
    <cellStyle name="Accent5 2 11" xfId="2303"/>
    <cellStyle name="Accent5 2 12" xfId="2304"/>
    <cellStyle name="Accent5 2 13" xfId="2305"/>
    <cellStyle name="Accent5 2 14" xfId="2306"/>
    <cellStyle name="Accent5 2 15" xfId="2307"/>
    <cellStyle name="Accent5 2 16" xfId="2308"/>
    <cellStyle name="Accent5 2 17" xfId="2309"/>
    <cellStyle name="Accent5 2 18" xfId="2310"/>
    <cellStyle name="Accent5 2 19" xfId="2311"/>
    <cellStyle name="Accent5 2 2" xfId="2312"/>
    <cellStyle name="Accent5 2 3" xfId="2313"/>
    <cellStyle name="Accent5 2 4" xfId="2314"/>
    <cellStyle name="Accent5 2 5" xfId="2315"/>
    <cellStyle name="Accent5 2 6" xfId="2316"/>
    <cellStyle name="Accent5 2 7" xfId="2317"/>
    <cellStyle name="Accent5 2 8" xfId="2318"/>
    <cellStyle name="Accent5 2 9" xfId="2319"/>
    <cellStyle name="Accent5 20" xfId="2320"/>
    <cellStyle name="Accent5 21" xfId="2321"/>
    <cellStyle name="Accent5 22" xfId="2322"/>
    <cellStyle name="Accent5 23" xfId="2323"/>
    <cellStyle name="Accent5 24" xfId="2324"/>
    <cellStyle name="Accent5 25" xfId="2325"/>
    <cellStyle name="Accent5 26" xfId="2326"/>
    <cellStyle name="Accent5 27" xfId="2327"/>
    <cellStyle name="Accent5 28" xfId="2328"/>
    <cellStyle name="Accent5 29" xfId="2329"/>
    <cellStyle name="Accent5 3" xfId="2330"/>
    <cellStyle name="Accent5 3 10" xfId="2331"/>
    <cellStyle name="Accent5 3 11" xfId="2332"/>
    <cellStyle name="Accent5 3 12" xfId="2333"/>
    <cellStyle name="Accent5 3 13" xfId="2334"/>
    <cellStyle name="Accent5 3 14" xfId="2335"/>
    <cellStyle name="Accent5 3 15" xfId="2336"/>
    <cellStyle name="Accent5 3 16" xfId="2337"/>
    <cellStyle name="Accent5 3 17" xfId="2338"/>
    <cellStyle name="Accent5 3 18" xfId="2339"/>
    <cellStyle name="Accent5 3 19" xfId="2340"/>
    <cellStyle name="Accent5 3 2" xfId="2341"/>
    <cellStyle name="Accent5 3 3" xfId="2342"/>
    <cellStyle name="Accent5 3 4" xfId="2343"/>
    <cellStyle name="Accent5 3 5" xfId="2344"/>
    <cellStyle name="Accent5 3 6" xfId="2345"/>
    <cellStyle name="Accent5 3 7" xfId="2346"/>
    <cellStyle name="Accent5 3 8" xfId="2347"/>
    <cellStyle name="Accent5 3 9" xfId="2348"/>
    <cellStyle name="Accent5 30" xfId="2349"/>
    <cellStyle name="Accent5 31" xfId="2350"/>
    <cellStyle name="Accent5 32" xfId="2351"/>
    <cellStyle name="Accent5 33" xfId="2352"/>
    <cellStyle name="Accent5 34" xfId="2353"/>
    <cellStyle name="Accent5 35" xfId="2354"/>
    <cellStyle name="Accent5 36" xfId="2355"/>
    <cellStyle name="Accent5 37" xfId="2356"/>
    <cellStyle name="Accent5 38" xfId="2357"/>
    <cellStyle name="Accent5 39" xfId="2358"/>
    <cellStyle name="Accent5 4" xfId="2359"/>
    <cellStyle name="Accent5 4 10" xfId="2360"/>
    <cellStyle name="Accent5 4 11" xfId="2361"/>
    <cellStyle name="Accent5 4 12" xfId="2362"/>
    <cellStyle name="Accent5 4 13" xfId="2363"/>
    <cellStyle name="Accent5 4 14" xfId="2364"/>
    <cellStyle name="Accent5 4 15" xfId="2365"/>
    <cellStyle name="Accent5 4 16" xfId="2366"/>
    <cellStyle name="Accent5 4 17" xfId="2367"/>
    <cellStyle name="Accent5 4 18" xfId="2368"/>
    <cellStyle name="Accent5 4 19" xfId="2369"/>
    <cellStyle name="Accent5 4 2" xfId="2370"/>
    <cellStyle name="Accent5 4 3" xfId="2371"/>
    <cellStyle name="Accent5 4 4" xfId="2372"/>
    <cellStyle name="Accent5 4 5" xfId="2373"/>
    <cellStyle name="Accent5 4 6" xfId="2374"/>
    <cellStyle name="Accent5 4 7" xfId="2375"/>
    <cellStyle name="Accent5 4 8" xfId="2376"/>
    <cellStyle name="Accent5 4 9" xfId="2377"/>
    <cellStyle name="Accent5 40" xfId="2378"/>
    <cellStyle name="Accent5 41" xfId="2379"/>
    <cellStyle name="Accent5 42" xfId="2380"/>
    <cellStyle name="Accent5 43" xfId="2381"/>
    <cellStyle name="Accent5 44" xfId="2382"/>
    <cellStyle name="Accent5 45" xfId="2383"/>
    <cellStyle name="Accent5 46" xfId="2384"/>
    <cellStyle name="Accent5 47" xfId="2385"/>
    <cellStyle name="Accent5 48" xfId="2386"/>
    <cellStyle name="Accent5 49" xfId="2387"/>
    <cellStyle name="Accent5 5" xfId="2388"/>
    <cellStyle name="Accent5 50" xfId="2389"/>
    <cellStyle name="Accent5 6" xfId="2390"/>
    <cellStyle name="Accent5 7" xfId="2391"/>
    <cellStyle name="Accent5 8" xfId="2392"/>
    <cellStyle name="Accent5 9" xfId="2393"/>
    <cellStyle name="Accent6" xfId="2394" builtinId="49" customBuiltin="1"/>
    <cellStyle name="Accent6 10" xfId="2395"/>
    <cellStyle name="Accent6 11" xfId="2396"/>
    <cellStyle name="Accent6 12" xfId="2397"/>
    <cellStyle name="Accent6 13" xfId="2398"/>
    <cellStyle name="Accent6 14" xfId="2399"/>
    <cellStyle name="Accent6 15" xfId="2400"/>
    <cellStyle name="Accent6 16" xfId="2401"/>
    <cellStyle name="Accent6 17" xfId="2402"/>
    <cellStyle name="Accent6 18" xfId="2403"/>
    <cellStyle name="Accent6 19" xfId="2404"/>
    <cellStyle name="Accent6 2" xfId="2405"/>
    <cellStyle name="Accent6 2 10" xfId="2406"/>
    <cellStyle name="Accent6 2 11" xfId="2407"/>
    <cellStyle name="Accent6 2 12" xfId="2408"/>
    <cellStyle name="Accent6 2 13" xfId="2409"/>
    <cellStyle name="Accent6 2 14" xfId="2410"/>
    <cellStyle name="Accent6 2 15" xfId="2411"/>
    <cellStyle name="Accent6 2 16" xfId="2412"/>
    <cellStyle name="Accent6 2 17" xfId="2413"/>
    <cellStyle name="Accent6 2 18" xfId="2414"/>
    <cellStyle name="Accent6 2 19" xfId="2415"/>
    <cellStyle name="Accent6 2 2" xfId="2416"/>
    <cellStyle name="Accent6 2 3" xfId="2417"/>
    <cellStyle name="Accent6 2 4" xfId="2418"/>
    <cellStyle name="Accent6 2 5" xfId="2419"/>
    <cellStyle name="Accent6 2 6" xfId="2420"/>
    <cellStyle name="Accent6 2 7" xfId="2421"/>
    <cellStyle name="Accent6 2 8" xfId="2422"/>
    <cellStyle name="Accent6 2 9" xfId="2423"/>
    <cellStyle name="Accent6 20" xfId="2424"/>
    <cellStyle name="Accent6 21" xfId="2425"/>
    <cellStyle name="Accent6 22" xfId="2426"/>
    <cellStyle name="Accent6 23" xfId="2427"/>
    <cellStyle name="Accent6 24" xfId="2428"/>
    <cellStyle name="Accent6 25" xfId="2429"/>
    <cellStyle name="Accent6 26" xfId="2430"/>
    <cellStyle name="Accent6 27" xfId="2431"/>
    <cellStyle name="Accent6 28" xfId="2432"/>
    <cellStyle name="Accent6 29" xfId="2433"/>
    <cellStyle name="Accent6 3" xfId="2434"/>
    <cellStyle name="Accent6 3 10" xfId="2435"/>
    <cellStyle name="Accent6 3 11" xfId="2436"/>
    <cellStyle name="Accent6 3 12" xfId="2437"/>
    <cellStyle name="Accent6 3 13" xfId="2438"/>
    <cellStyle name="Accent6 3 14" xfId="2439"/>
    <cellStyle name="Accent6 3 15" xfId="2440"/>
    <cellStyle name="Accent6 3 16" xfId="2441"/>
    <cellStyle name="Accent6 3 17" xfId="2442"/>
    <cellStyle name="Accent6 3 18" xfId="2443"/>
    <cellStyle name="Accent6 3 19" xfId="2444"/>
    <cellStyle name="Accent6 3 2" xfId="2445"/>
    <cellStyle name="Accent6 3 3" xfId="2446"/>
    <cellStyle name="Accent6 3 4" xfId="2447"/>
    <cellStyle name="Accent6 3 5" xfId="2448"/>
    <cellStyle name="Accent6 3 6" xfId="2449"/>
    <cellStyle name="Accent6 3 7" xfId="2450"/>
    <cellStyle name="Accent6 3 8" xfId="2451"/>
    <cellStyle name="Accent6 3 9" xfId="2452"/>
    <cellStyle name="Accent6 30" xfId="2453"/>
    <cellStyle name="Accent6 31" xfId="2454"/>
    <cellStyle name="Accent6 32" xfId="2455"/>
    <cellStyle name="Accent6 33" xfId="2456"/>
    <cellStyle name="Accent6 34" xfId="2457"/>
    <cellStyle name="Accent6 35" xfId="2458"/>
    <cellStyle name="Accent6 36" xfId="2459"/>
    <cellStyle name="Accent6 37" xfId="2460"/>
    <cellStyle name="Accent6 38" xfId="2461"/>
    <cellStyle name="Accent6 39" xfId="2462"/>
    <cellStyle name="Accent6 4" xfId="2463"/>
    <cellStyle name="Accent6 4 10" xfId="2464"/>
    <cellStyle name="Accent6 4 11" xfId="2465"/>
    <cellStyle name="Accent6 4 12" xfId="2466"/>
    <cellStyle name="Accent6 4 13" xfId="2467"/>
    <cellStyle name="Accent6 4 14" xfId="2468"/>
    <cellStyle name="Accent6 4 15" xfId="2469"/>
    <cellStyle name="Accent6 4 16" xfId="2470"/>
    <cellStyle name="Accent6 4 17" xfId="2471"/>
    <cellStyle name="Accent6 4 18" xfId="2472"/>
    <cellStyle name="Accent6 4 19" xfId="2473"/>
    <cellStyle name="Accent6 4 2" xfId="2474"/>
    <cellStyle name="Accent6 4 3" xfId="2475"/>
    <cellStyle name="Accent6 4 4" xfId="2476"/>
    <cellStyle name="Accent6 4 5" xfId="2477"/>
    <cellStyle name="Accent6 4 6" xfId="2478"/>
    <cellStyle name="Accent6 4 7" xfId="2479"/>
    <cellStyle name="Accent6 4 8" xfId="2480"/>
    <cellStyle name="Accent6 4 9" xfId="2481"/>
    <cellStyle name="Accent6 40" xfId="2482"/>
    <cellStyle name="Accent6 41" xfId="2483"/>
    <cellStyle name="Accent6 42" xfId="2484"/>
    <cellStyle name="Accent6 43" xfId="2485"/>
    <cellStyle name="Accent6 44" xfId="2486"/>
    <cellStyle name="Accent6 45" xfId="2487"/>
    <cellStyle name="Accent6 46" xfId="2488"/>
    <cellStyle name="Accent6 47" xfId="2489"/>
    <cellStyle name="Accent6 48" xfId="2490"/>
    <cellStyle name="Accent6 49" xfId="2491"/>
    <cellStyle name="Accent6 5" xfId="2492"/>
    <cellStyle name="Accent6 50" xfId="2493"/>
    <cellStyle name="Accent6 6" xfId="2494"/>
    <cellStyle name="Accent6 7" xfId="2495"/>
    <cellStyle name="Accent6 8" xfId="2496"/>
    <cellStyle name="Accent6 9" xfId="2497"/>
    <cellStyle name="amount" xfId="2498"/>
    <cellStyle name="Bad" xfId="2499" builtinId="27" customBuiltin="1"/>
    <cellStyle name="Bad 10" xfId="2500"/>
    <cellStyle name="Bad 11" xfId="2501"/>
    <cellStyle name="Bad 12" xfId="2502"/>
    <cellStyle name="Bad 13" xfId="2503"/>
    <cellStyle name="Bad 14" xfId="2504"/>
    <cellStyle name="Bad 15" xfId="2505"/>
    <cellStyle name="Bad 16" xfId="2506"/>
    <cellStyle name="Bad 17" xfId="2507"/>
    <cellStyle name="Bad 18" xfId="2508"/>
    <cellStyle name="Bad 19" xfId="2509"/>
    <cellStyle name="Bad 2" xfId="2510"/>
    <cellStyle name="Bad 2 10" xfId="2511"/>
    <cellStyle name="Bad 2 11" xfId="2512"/>
    <cellStyle name="Bad 2 12" xfId="2513"/>
    <cellStyle name="Bad 2 13" xfId="2514"/>
    <cellStyle name="Bad 2 14" xfId="2515"/>
    <cellStyle name="Bad 2 15" xfId="2516"/>
    <cellStyle name="Bad 2 16" xfId="2517"/>
    <cellStyle name="Bad 2 17" xfId="2518"/>
    <cellStyle name="Bad 2 18" xfId="2519"/>
    <cellStyle name="Bad 2 19" xfId="2520"/>
    <cellStyle name="Bad 2 2" xfId="2521"/>
    <cellStyle name="Bad 2 3" xfId="2522"/>
    <cellStyle name="Bad 2 4" xfId="2523"/>
    <cellStyle name="Bad 2 5" xfId="2524"/>
    <cellStyle name="Bad 2 6" xfId="2525"/>
    <cellStyle name="Bad 2 7" xfId="2526"/>
    <cellStyle name="Bad 2 8" xfId="2527"/>
    <cellStyle name="Bad 2 9" xfId="2528"/>
    <cellStyle name="Bad 20" xfId="2529"/>
    <cellStyle name="Bad 21" xfId="2530"/>
    <cellStyle name="Bad 22" xfId="2531"/>
    <cellStyle name="Bad 23" xfId="2532"/>
    <cellStyle name="Bad 24" xfId="2533"/>
    <cellStyle name="Bad 25" xfId="2534"/>
    <cellStyle name="Bad 26" xfId="2535"/>
    <cellStyle name="Bad 27" xfId="2536"/>
    <cellStyle name="Bad 28" xfId="2537"/>
    <cellStyle name="Bad 29" xfId="2538"/>
    <cellStyle name="Bad 3" xfId="2539"/>
    <cellStyle name="Bad 3 10" xfId="2540"/>
    <cellStyle name="Bad 3 11" xfId="2541"/>
    <cellStyle name="Bad 3 12" xfId="2542"/>
    <cellStyle name="Bad 3 13" xfId="2543"/>
    <cellStyle name="Bad 3 14" xfId="2544"/>
    <cellStyle name="Bad 3 15" xfId="2545"/>
    <cellStyle name="Bad 3 16" xfId="2546"/>
    <cellStyle name="Bad 3 17" xfId="2547"/>
    <cellStyle name="Bad 3 18" xfId="2548"/>
    <cellStyle name="Bad 3 19" xfId="2549"/>
    <cellStyle name="Bad 3 2" xfId="2550"/>
    <cellStyle name="Bad 3 3" xfId="2551"/>
    <cellStyle name="Bad 3 4" xfId="2552"/>
    <cellStyle name="Bad 3 5" xfId="2553"/>
    <cellStyle name="Bad 3 6" xfId="2554"/>
    <cellStyle name="Bad 3 7" xfId="2555"/>
    <cellStyle name="Bad 3 8" xfId="2556"/>
    <cellStyle name="Bad 3 9" xfId="2557"/>
    <cellStyle name="Bad 30" xfId="2558"/>
    <cellStyle name="Bad 31" xfId="2559"/>
    <cellStyle name="Bad 32" xfId="2560"/>
    <cellStyle name="Bad 33" xfId="2561"/>
    <cellStyle name="Bad 34" xfId="2562"/>
    <cellStyle name="Bad 35" xfId="2563"/>
    <cellStyle name="Bad 36" xfId="2564"/>
    <cellStyle name="Bad 37" xfId="2565"/>
    <cellStyle name="Bad 38" xfId="2566"/>
    <cellStyle name="Bad 39" xfId="2567"/>
    <cellStyle name="Bad 4" xfId="2568"/>
    <cellStyle name="Bad 4 10" xfId="2569"/>
    <cellStyle name="Bad 4 11" xfId="2570"/>
    <cellStyle name="Bad 4 12" xfId="2571"/>
    <cellStyle name="Bad 4 13" xfId="2572"/>
    <cellStyle name="Bad 4 14" xfId="2573"/>
    <cellStyle name="Bad 4 15" xfId="2574"/>
    <cellStyle name="Bad 4 16" xfId="2575"/>
    <cellStyle name="Bad 4 17" xfId="2576"/>
    <cellStyle name="Bad 4 18" xfId="2577"/>
    <cellStyle name="Bad 4 19" xfId="2578"/>
    <cellStyle name="Bad 4 2" xfId="2579"/>
    <cellStyle name="Bad 4 3" xfId="2580"/>
    <cellStyle name="Bad 4 4" xfId="2581"/>
    <cellStyle name="Bad 4 5" xfId="2582"/>
    <cellStyle name="Bad 4 6" xfId="2583"/>
    <cellStyle name="Bad 4 7" xfId="2584"/>
    <cellStyle name="Bad 4 8" xfId="2585"/>
    <cellStyle name="Bad 4 9" xfId="2586"/>
    <cellStyle name="Bad 40" xfId="2587"/>
    <cellStyle name="Bad 41" xfId="2588"/>
    <cellStyle name="Bad 42" xfId="2589"/>
    <cellStyle name="Bad 43" xfId="2590"/>
    <cellStyle name="Bad 44" xfId="2591"/>
    <cellStyle name="Bad 45" xfId="2592"/>
    <cellStyle name="Bad 46" xfId="2593"/>
    <cellStyle name="Bad 47" xfId="2594"/>
    <cellStyle name="Bad 48" xfId="2595"/>
    <cellStyle name="Bad 49" xfId="2596"/>
    <cellStyle name="Bad 5" xfId="2597"/>
    <cellStyle name="Bad 50" xfId="2598"/>
    <cellStyle name="Bad 6" xfId="2599"/>
    <cellStyle name="Bad 7" xfId="2600"/>
    <cellStyle name="Bad 8" xfId="2601"/>
    <cellStyle name="Bad 9" xfId="2602"/>
    <cellStyle name="Blue Test" xfId="2603"/>
    <cellStyle name="Blue Test 2" xfId="2604"/>
    <cellStyle name="Blue Test 2 2" xfId="2605"/>
    <cellStyle name="Body text" xfId="2606"/>
    <cellStyle name="Calculation" xfId="2607" builtinId="22" customBuiltin="1"/>
    <cellStyle name="Calculation 10" xfId="2608"/>
    <cellStyle name="Calculation 11" xfId="2609"/>
    <cellStyle name="Calculation 12" xfId="2610"/>
    <cellStyle name="Calculation 13" xfId="2611"/>
    <cellStyle name="Calculation 14" xfId="2612"/>
    <cellStyle name="Calculation 15" xfId="2613"/>
    <cellStyle name="Calculation 16" xfId="2614"/>
    <cellStyle name="Calculation 17" xfId="2615"/>
    <cellStyle name="Calculation 18" xfId="2616"/>
    <cellStyle name="Calculation 19" xfId="2617"/>
    <cellStyle name="Calculation 2" xfId="2618"/>
    <cellStyle name="Calculation 2 10" xfId="2619"/>
    <cellStyle name="Calculation 2 11" xfId="2620"/>
    <cellStyle name="Calculation 2 12" xfId="2621"/>
    <cellStyle name="Calculation 2 13" xfId="2622"/>
    <cellStyle name="Calculation 2 14" xfId="2623"/>
    <cellStyle name="Calculation 2 15" xfId="2624"/>
    <cellStyle name="Calculation 2 16" xfId="2625"/>
    <cellStyle name="Calculation 2 17" xfId="2626"/>
    <cellStyle name="Calculation 2 18" xfId="2627"/>
    <cellStyle name="Calculation 2 19" xfId="2628"/>
    <cellStyle name="Calculation 2 2" xfId="2629"/>
    <cellStyle name="Calculation 2 3" xfId="2630"/>
    <cellStyle name="Calculation 2 4" xfId="2631"/>
    <cellStyle name="Calculation 2 5" xfId="2632"/>
    <cellStyle name="Calculation 2 6" xfId="2633"/>
    <cellStyle name="Calculation 2 7" xfId="2634"/>
    <cellStyle name="Calculation 2 8" xfId="2635"/>
    <cellStyle name="Calculation 2 9" xfId="2636"/>
    <cellStyle name="Calculation 20" xfId="2637"/>
    <cellStyle name="Calculation 21" xfId="2638"/>
    <cellStyle name="Calculation 22" xfId="2639"/>
    <cellStyle name="Calculation 23" xfId="2640"/>
    <cellStyle name="Calculation 24" xfId="2641"/>
    <cellStyle name="Calculation 25" xfId="2642"/>
    <cellStyle name="Calculation 26" xfId="2643"/>
    <cellStyle name="Calculation 27" xfId="2644"/>
    <cellStyle name="Calculation 28" xfId="2645"/>
    <cellStyle name="Calculation 29" xfId="2646"/>
    <cellStyle name="Calculation 3" xfId="2647"/>
    <cellStyle name="Calculation 3 10" xfId="2648"/>
    <cellStyle name="Calculation 3 11" xfId="2649"/>
    <cellStyle name="Calculation 3 12" xfId="2650"/>
    <cellStyle name="Calculation 3 13" xfId="2651"/>
    <cellStyle name="Calculation 3 14" xfId="2652"/>
    <cellStyle name="Calculation 3 15" xfId="2653"/>
    <cellStyle name="Calculation 3 16" xfId="2654"/>
    <cellStyle name="Calculation 3 17" xfId="2655"/>
    <cellStyle name="Calculation 3 18" xfId="2656"/>
    <cellStyle name="Calculation 3 19" xfId="2657"/>
    <cellStyle name="Calculation 3 2" xfId="2658"/>
    <cellStyle name="Calculation 3 3" xfId="2659"/>
    <cellStyle name="Calculation 3 4" xfId="2660"/>
    <cellStyle name="Calculation 3 5" xfId="2661"/>
    <cellStyle name="Calculation 3 6" xfId="2662"/>
    <cellStyle name="Calculation 3 7" xfId="2663"/>
    <cellStyle name="Calculation 3 8" xfId="2664"/>
    <cellStyle name="Calculation 3 9" xfId="2665"/>
    <cellStyle name="Calculation 30" xfId="2666"/>
    <cellStyle name="Calculation 31" xfId="2667"/>
    <cellStyle name="Calculation 32" xfId="2668"/>
    <cellStyle name="Calculation 33" xfId="2669"/>
    <cellStyle name="Calculation 34" xfId="2670"/>
    <cellStyle name="Calculation 35" xfId="2671"/>
    <cellStyle name="Calculation 36" xfId="2672"/>
    <cellStyle name="Calculation 37" xfId="2673"/>
    <cellStyle name="Calculation 38" xfId="2674"/>
    <cellStyle name="Calculation 39" xfId="2675"/>
    <cellStyle name="Calculation 4" xfId="2676"/>
    <cellStyle name="Calculation 4 10" xfId="2677"/>
    <cellStyle name="Calculation 4 11" xfId="2678"/>
    <cellStyle name="Calculation 4 12" xfId="2679"/>
    <cellStyle name="Calculation 4 13" xfId="2680"/>
    <cellStyle name="Calculation 4 14" xfId="2681"/>
    <cellStyle name="Calculation 4 15" xfId="2682"/>
    <cellStyle name="Calculation 4 16" xfId="2683"/>
    <cellStyle name="Calculation 4 17" xfId="2684"/>
    <cellStyle name="Calculation 4 18" xfId="2685"/>
    <cellStyle name="Calculation 4 19" xfId="2686"/>
    <cellStyle name="Calculation 4 2" xfId="2687"/>
    <cellStyle name="Calculation 4 3" xfId="2688"/>
    <cellStyle name="Calculation 4 4" xfId="2689"/>
    <cellStyle name="Calculation 4 5" xfId="2690"/>
    <cellStyle name="Calculation 4 6" xfId="2691"/>
    <cellStyle name="Calculation 4 7" xfId="2692"/>
    <cellStyle name="Calculation 4 8" xfId="2693"/>
    <cellStyle name="Calculation 4 9" xfId="2694"/>
    <cellStyle name="Calculation 40" xfId="2695"/>
    <cellStyle name="Calculation 41" xfId="2696"/>
    <cellStyle name="Calculation 42" xfId="2697"/>
    <cellStyle name="Calculation 43" xfId="2698"/>
    <cellStyle name="Calculation 44" xfId="2699"/>
    <cellStyle name="Calculation 45" xfId="2700"/>
    <cellStyle name="Calculation 46" xfId="2701"/>
    <cellStyle name="Calculation 47" xfId="2702"/>
    <cellStyle name="Calculation 48" xfId="2703"/>
    <cellStyle name="Calculation 49" xfId="2704"/>
    <cellStyle name="Calculation 5" xfId="2705"/>
    <cellStyle name="Calculation 50" xfId="2706"/>
    <cellStyle name="Calculation 6" xfId="2707"/>
    <cellStyle name="Calculation 7" xfId="2708"/>
    <cellStyle name="Calculation 8" xfId="2709"/>
    <cellStyle name="Calculation 9" xfId="2710"/>
    <cellStyle name="Centered Heading" xfId="2711"/>
    <cellStyle name="Check Cell" xfId="2712" builtinId="23" customBuiltin="1"/>
    <cellStyle name="Check Cell 10" xfId="2713"/>
    <cellStyle name="Check Cell 11" xfId="2714"/>
    <cellStyle name="Check Cell 12" xfId="2715"/>
    <cellStyle name="Check Cell 13" xfId="2716"/>
    <cellStyle name="Check Cell 14" xfId="2717"/>
    <cellStyle name="Check Cell 15" xfId="2718"/>
    <cellStyle name="Check Cell 16" xfId="2719"/>
    <cellStyle name="Check Cell 17" xfId="2720"/>
    <cellStyle name="Check Cell 18" xfId="2721"/>
    <cellStyle name="Check Cell 19" xfId="2722"/>
    <cellStyle name="Check Cell 2" xfId="2723"/>
    <cellStyle name="Check Cell 2 10" xfId="2724"/>
    <cellStyle name="Check Cell 2 11" xfId="2725"/>
    <cellStyle name="Check Cell 2 12" xfId="2726"/>
    <cellStyle name="Check Cell 2 13" xfId="2727"/>
    <cellStyle name="Check Cell 2 14" xfId="2728"/>
    <cellStyle name="Check Cell 2 15" xfId="2729"/>
    <cellStyle name="Check Cell 2 16" xfId="2730"/>
    <cellStyle name="Check Cell 2 17" xfId="2731"/>
    <cellStyle name="Check Cell 2 18" xfId="2732"/>
    <cellStyle name="Check Cell 2 19" xfId="2733"/>
    <cellStyle name="Check Cell 2 2" xfId="2734"/>
    <cellStyle name="Check Cell 2 3" xfId="2735"/>
    <cellStyle name="Check Cell 2 4" xfId="2736"/>
    <cellStyle name="Check Cell 2 5" xfId="2737"/>
    <cellStyle name="Check Cell 2 6" xfId="2738"/>
    <cellStyle name="Check Cell 2 7" xfId="2739"/>
    <cellStyle name="Check Cell 2 8" xfId="2740"/>
    <cellStyle name="Check Cell 2 9" xfId="2741"/>
    <cellStyle name="Check Cell 20" xfId="2742"/>
    <cellStyle name="Check Cell 21" xfId="2743"/>
    <cellStyle name="Check Cell 22" xfId="2744"/>
    <cellStyle name="Check Cell 23" xfId="2745"/>
    <cellStyle name="Check Cell 24" xfId="2746"/>
    <cellStyle name="Check Cell 25" xfId="2747"/>
    <cellStyle name="Check Cell 26" xfId="2748"/>
    <cellStyle name="Check Cell 27" xfId="2749"/>
    <cellStyle name="Check Cell 28" xfId="2750"/>
    <cellStyle name="Check Cell 29" xfId="2751"/>
    <cellStyle name="Check Cell 3" xfId="2752"/>
    <cellStyle name="Check Cell 3 10" xfId="2753"/>
    <cellStyle name="Check Cell 3 11" xfId="2754"/>
    <cellStyle name="Check Cell 3 12" xfId="2755"/>
    <cellStyle name="Check Cell 3 13" xfId="2756"/>
    <cellStyle name="Check Cell 3 14" xfId="2757"/>
    <cellStyle name="Check Cell 3 15" xfId="2758"/>
    <cellStyle name="Check Cell 3 16" xfId="2759"/>
    <cellStyle name="Check Cell 3 17" xfId="2760"/>
    <cellStyle name="Check Cell 3 18" xfId="2761"/>
    <cellStyle name="Check Cell 3 19" xfId="2762"/>
    <cellStyle name="Check Cell 3 2" xfId="2763"/>
    <cellStyle name="Check Cell 3 3" xfId="2764"/>
    <cellStyle name="Check Cell 3 4" xfId="2765"/>
    <cellStyle name="Check Cell 3 5" xfId="2766"/>
    <cellStyle name="Check Cell 3 6" xfId="2767"/>
    <cellStyle name="Check Cell 3 7" xfId="2768"/>
    <cellStyle name="Check Cell 3 8" xfId="2769"/>
    <cellStyle name="Check Cell 3 9" xfId="2770"/>
    <cellStyle name="Check Cell 30" xfId="2771"/>
    <cellStyle name="Check Cell 31" xfId="2772"/>
    <cellStyle name="Check Cell 32" xfId="2773"/>
    <cellStyle name="Check Cell 33" xfId="2774"/>
    <cellStyle name="Check Cell 34" xfId="2775"/>
    <cellStyle name="Check Cell 35" xfId="2776"/>
    <cellStyle name="Check Cell 36" xfId="2777"/>
    <cellStyle name="Check Cell 37" xfId="2778"/>
    <cellStyle name="Check Cell 38" xfId="2779"/>
    <cellStyle name="Check Cell 39" xfId="2780"/>
    <cellStyle name="Check Cell 4" xfId="2781"/>
    <cellStyle name="Check Cell 4 10" xfId="2782"/>
    <cellStyle name="Check Cell 4 11" xfId="2783"/>
    <cellStyle name="Check Cell 4 12" xfId="2784"/>
    <cellStyle name="Check Cell 4 13" xfId="2785"/>
    <cellStyle name="Check Cell 4 14" xfId="2786"/>
    <cellStyle name="Check Cell 4 15" xfId="2787"/>
    <cellStyle name="Check Cell 4 16" xfId="2788"/>
    <cellStyle name="Check Cell 4 17" xfId="2789"/>
    <cellStyle name="Check Cell 4 18" xfId="2790"/>
    <cellStyle name="Check Cell 4 19" xfId="2791"/>
    <cellStyle name="Check Cell 4 2" xfId="2792"/>
    <cellStyle name="Check Cell 4 3" xfId="2793"/>
    <cellStyle name="Check Cell 4 4" xfId="2794"/>
    <cellStyle name="Check Cell 4 5" xfId="2795"/>
    <cellStyle name="Check Cell 4 6" xfId="2796"/>
    <cellStyle name="Check Cell 4 7" xfId="2797"/>
    <cellStyle name="Check Cell 4 8" xfId="2798"/>
    <cellStyle name="Check Cell 4 9" xfId="2799"/>
    <cellStyle name="Check Cell 40" xfId="2800"/>
    <cellStyle name="Check Cell 41" xfId="2801"/>
    <cellStyle name="Check Cell 42" xfId="2802"/>
    <cellStyle name="Check Cell 43" xfId="2803"/>
    <cellStyle name="Check Cell 44" xfId="2804"/>
    <cellStyle name="Check Cell 45" xfId="2805"/>
    <cellStyle name="Check Cell 46" xfId="2806"/>
    <cellStyle name="Check Cell 47" xfId="2807"/>
    <cellStyle name="Check Cell 48" xfId="2808"/>
    <cellStyle name="Check Cell 49" xfId="2809"/>
    <cellStyle name="Check Cell 5" xfId="2810"/>
    <cellStyle name="Check Cell 50" xfId="2811"/>
    <cellStyle name="Check Cell 6" xfId="2812"/>
    <cellStyle name="Check Cell 7" xfId="2813"/>
    <cellStyle name="Check Cell 8" xfId="2814"/>
    <cellStyle name="Check Cell 9" xfId="2815"/>
    <cellStyle name="Comma [2]" xfId="2816"/>
    <cellStyle name="Comma [2] 2" xfId="2817"/>
    <cellStyle name="Comma [2] 2 2" xfId="2818"/>
    <cellStyle name="Comma 0.0" xfId="2819"/>
    <cellStyle name="Comma 0.00" xfId="2820"/>
    <cellStyle name="Comma 0.000" xfId="2821"/>
    <cellStyle name="Comma 0.0000" xfId="2822"/>
    <cellStyle name="Comma 10 2 2" xfId="2823"/>
    <cellStyle name="Comma 10 2 2 2" xfId="2824"/>
    <cellStyle name="Comma 14 2" xfId="2825"/>
    <cellStyle name="Comma 14 2 7" xfId="2826"/>
    <cellStyle name="Comma 2" xfId="3960"/>
    <cellStyle name="Comma 2 10" xfId="2827"/>
    <cellStyle name="Comma 2 10 2" xfId="2828"/>
    <cellStyle name="Comma 2 11" xfId="2829"/>
    <cellStyle name="Comma 2 11 2" xfId="2830"/>
    <cellStyle name="Comma 2 12" xfId="2831"/>
    <cellStyle name="Comma 2 12 2" xfId="2832"/>
    <cellStyle name="Comma 2 13" xfId="2833"/>
    <cellStyle name="Comma 2 13 2" xfId="2834"/>
    <cellStyle name="Comma 2 14" xfId="2835"/>
    <cellStyle name="Comma 2 14 2" xfId="2836"/>
    <cellStyle name="Comma 2 15" xfId="2837"/>
    <cellStyle name="Comma 2 15 2" xfId="2838"/>
    <cellStyle name="Comma 2 16" xfId="2839"/>
    <cellStyle name="Comma 2 16 2" xfId="2840"/>
    <cellStyle name="Comma 2 17" xfId="2841"/>
    <cellStyle name="Comma 2 17 2" xfId="2842"/>
    <cellStyle name="Comma 2 18" xfId="2843"/>
    <cellStyle name="Comma 2 18 2" xfId="2844"/>
    <cellStyle name="Comma 2 19" xfId="2845"/>
    <cellStyle name="Comma 2 19 2" xfId="2846"/>
    <cellStyle name="Comma 2 2" xfId="2847"/>
    <cellStyle name="Comma 2 2 2" xfId="2848"/>
    <cellStyle name="Comma 2 20" xfId="2849"/>
    <cellStyle name="Comma 2 20 2" xfId="2850"/>
    <cellStyle name="Comma 2 21" xfId="2851"/>
    <cellStyle name="Comma 2 21 2" xfId="2852"/>
    <cellStyle name="Comma 2 22" xfId="2853"/>
    <cellStyle name="Comma 2 22 2" xfId="2854"/>
    <cellStyle name="Comma 2 23" xfId="2855"/>
    <cellStyle name="Comma 2 23 2" xfId="2856"/>
    <cellStyle name="Comma 2 24" xfId="2857"/>
    <cellStyle name="Comma 2 24 2" xfId="2858"/>
    <cellStyle name="Comma 2 25" xfId="2859"/>
    <cellStyle name="Comma 2 25 2" xfId="2860"/>
    <cellStyle name="Comma 2 26" xfId="2861"/>
    <cellStyle name="Comma 2 26 2" xfId="2862"/>
    <cellStyle name="Comma 2 27" xfId="2863"/>
    <cellStyle name="Comma 2 27 2" xfId="2864"/>
    <cellStyle name="Comma 2 28" xfId="2865"/>
    <cellStyle name="Comma 2 28 2" xfId="2866"/>
    <cellStyle name="Comma 2 29" xfId="2867"/>
    <cellStyle name="Comma 2 29 2" xfId="2868"/>
    <cellStyle name="Comma 2 3" xfId="2869"/>
    <cellStyle name="Comma 2 3 2" xfId="2870"/>
    <cellStyle name="Comma 2 30" xfId="2871"/>
    <cellStyle name="Comma 2 30 2" xfId="2872"/>
    <cellStyle name="Comma 2 31" xfId="2873"/>
    <cellStyle name="Comma 2 31 2" xfId="2874"/>
    <cellStyle name="Comma 2 32" xfId="3973"/>
    <cellStyle name="Comma 2 4" xfId="2875"/>
    <cellStyle name="Comma 2 4 2" xfId="2876"/>
    <cellStyle name="Comma 2 5" xfId="2877"/>
    <cellStyle name="Comma 2 5 2" xfId="2878"/>
    <cellStyle name="Comma 2 6" xfId="2879"/>
    <cellStyle name="Comma 2 6 2" xfId="2880"/>
    <cellStyle name="Comma 2 7" xfId="2881"/>
    <cellStyle name="Comma 2 7 2" xfId="2882"/>
    <cellStyle name="Comma 2 8" xfId="2883"/>
    <cellStyle name="Comma 2 8 2" xfId="2884"/>
    <cellStyle name="Comma 2 9" xfId="2885"/>
    <cellStyle name="Comma 2 9 2" xfId="2886"/>
    <cellStyle name="Comma 26" xfId="2887"/>
    <cellStyle name="Comma 26 2" xfId="2888"/>
    <cellStyle name="Comma 3" xfId="2889"/>
    <cellStyle name="Comma 3 2" xfId="2890"/>
    <cellStyle name="Comma 30" xfId="2891"/>
    <cellStyle name="Comma 30 2" xfId="2892"/>
    <cellStyle name="Comma 4" xfId="2893"/>
    <cellStyle name="Comma 4 2" xfId="2894"/>
    <cellStyle name="Comma 4 3" xfId="3961"/>
    <cellStyle name="Comma 5" xfId="2895"/>
    <cellStyle name="Comma 5 10" xfId="2896"/>
    <cellStyle name="Comma 5 10 2" xfId="2897"/>
    <cellStyle name="Comma 5 11" xfId="2898"/>
    <cellStyle name="Comma 5 11 2" xfId="2899"/>
    <cellStyle name="Comma 5 12" xfId="2900"/>
    <cellStyle name="Comma 5 12 2" xfId="2901"/>
    <cellStyle name="Comma 5 13" xfId="2902"/>
    <cellStyle name="Comma 5 13 2" xfId="2903"/>
    <cellStyle name="Comma 5 14" xfId="2904"/>
    <cellStyle name="Comma 5 14 2" xfId="2905"/>
    <cellStyle name="Comma 5 15" xfId="2906"/>
    <cellStyle name="Comma 5 16" xfId="3962"/>
    <cellStyle name="Comma 5 2" xfId="2907"/>
    <cellStyle name="Comma 5 2 2" xfId="2908"/>
    <cellStyle name="Comma 5 3" xfId="2909"/>
    <cellStyle name="Comma 5 3 2" xfId="2910"/>
    <cellStyle name="Comma 5 4" xfId="2911"/>
    <cellStyle name="Comma 5 4 2" xfId="2912"/>
    <cellStyle name="Comma 5 5" xfId="2913"/>
    <cellStyle name="Comma 5 5 2" xfId="2914"/>
    <cellStyle name="Comma 5 6" xfId="2915"/>
    <cellStyle name="Comma 5 6 2" xfId="2916"/>
    <cellStyle name="Comma 5 7" xfId="2917"/>
    <cellStyle name="Comma 5 7 2" xfId="2918"/>
    <cellStyle name="Comma 5 8" xfId="2919"/>
    <cellStyle name="Comma 5 8 2" xfId="2920"/>
    <cellStyle name="Comma 5 9" xfId="2921"/>
    <cellStyle name="Comma 5 9 2" xfId="2922"/>
    <cellStyle name="Comma 6" xfId="2923"/>
    <cellStyle name="Comma 6 10" xfId="2924"/>
    <cellStyle name="Comma 6 10 2" xfId="2925"/>
    <cellStyle name="Comma 6 11" xfId="2926"/>
    <cellStyle name="Comma 6 12" xfId="3963"/>
    <cellStyle name="Comma 6 2" xfId="2927"/>
    <cellStyle name="Comma 6 2 2" xfId="2928"/>
    <cellStyle name="Comma 6 3" xfId="2929"/>
    <cellStyle name="Comma 6 3 2" xfId="2930"/>
    <cellStyle name="Comma 6 4" xfId="2931"/>
    <cellStyle name="Comma 6 4 2" xfId="2932"/>
    <cellStyle name="Comma 6 5" xfId="2933"/>
    <cellStyle name="Comma 6 5 2" xfId="2934"/>
    <cellStyle name="Comma 6 6" xfId="2935"/>
    <cellStyle name="Comma 6 6 2" xfId="2936"/>
    <cellStyle name="Comma 6 7" xfId="2937"/>
    <cellStyle name="Comma 6 7 2" xfId="2938"/>
    <cellStyle name="Comma 6 8" xfId="2939"/>
    <cellStyle name="Comma 6 8 2" xfId="2940"/>
    <cellStyle name="Comma 6 9" xfId="2941"/>
    <cellStyle name="Comma 6 9 2" xfId="2942"/>
    <cellStyle name="Comma 7 2" xfId="2943"/>
    <cellStyle name="Comma 7 2 2" xfId="2944"/>
    <cellStyle name="Comma 7 3" xfId="2945"/>
    <cellStyle name="Comma 7 3 2" xfId="2946"/>
    <cellStyle name="Company Name" xfId="2947"/>
    <cellStyle name="Currency 0.0" xfId="2948"/>
    <cellStyle name="Currency 0.00" xfId="2949"/>
    <cellStyle name="Currency 0.000" xfId="2950"/>
    <cellStyle name="Currency 0.0000" xfId="2951"/>
    <cellStyle name="Date" xfId="2952"/>
    <cellStyle name="Euro" xfId="2953"/>
    <cellStyle name="Euro 2" xfId="2954"/>
    <cellStyle name="Euro 2 2" xfId="2955"/>
    <cellStyle name="Euro 3" xfId="2956"/>
    <cellStyle name="Explanatory Text" xfId="2957" builtinId="53" customBuiltin="1"/>
    <cellStyle name="Explanatory Text 10" xfId="2958"/>
    <cellStyle name="Explanatory Text 11" xfId="2959"/>
    <cellStyle name="Explanatory Text 12" xfId="2960"/>
    <cellStyle name="Explanatory Text 13" xfId="2961"/>
    <cellStyle name="Explanatory Text 14" xfId="2962"/>
    <cellStyle name="Explanatory Text 15" xfId="2963"/>
    <cellStyle name="Explanatory Text 16" xfId="2964"/>
    <cellStyle name="Explanatory Text 17" xfId="2965"/>
    <cellStyle name="Explanatory Text 18" xfId="2966"/>
    <cellStyle name="Explanatory Text 19" xfId="2967"/>
    <cellStyle name="Explanatory Text 2" xfId="2968"/>
    <cellStyle name="Explanatory Text 2 10" xfId="2969"/>
    <cellStyle name="Explanatory Text 2 11" xfId="2970"/>
    <cellStyle name="Explanatory Text 2 12" xfId="2971"/>
    <cellStyle name="Explanatory Text 2 13" xfId="2972"/>
    <cellStyle name="Explanatory Text 2 14" xfId="2973"/>
    <cellStyle name="Explanatory Text 2 15" xfId="2974"/>
    <cellStyle name="Explanatory Text 2 16" xfId="2975"/>
    <cellStyle name="Explanatory Text 2 17" xfId="2976"/>
    <cellStyle name="Explanatory Text 2 18" xfId="2977"/>
    <cellStyle name="Explanatory Text 2 19" xfId="2978"/>
    <cellStyle name="Explanatory Text 2 2" xfId="2979"/>
    <cellStyle name="Explanatory Text 2 3" xfId="2980"/>
    <cellStyle name="Explanatory Text 2 4" xfId="2981"/>
    <cellStyle name="Explanatory Text 2 5" xfId="2982"/>
    <cellStyle name="Explanatory Text 2 6" xfId="2983"/>
    <cellStyle name="Explanatory Text 2 7" xfId="2984"/>
    <cellStyle name="Explanatory Text 2 8" xfId="2985"/>
    <cellStyle name="Explanatory Text 2 9" xfId="2986"/>
    <cellStyle name="Explanatory Text 20" xfId="2987"/>
    <cellStyle name="Explanatory Text 21" xfId="2988"/>
    <cellStyle name="Explanatory Text 22" xfId="2989"/>
    <cellStyle name="Explanatory Text 23" xfId="2990"/>
    <cellStyle name="Explanatory Text 24" xfId="2991"/>
    <cellStyle name="Explanatory Text 25" xfId="2992"/>
    <cellStyle name="Explanatory Text 26" xfId="2993"/>
    <cellStyle name="Explanatory Text 27" xfId="2994"/>
    <cellStyle name="Explanatory Text 28" xfId="2995"/>
    <cellStyle name="Explanatory Text 29" xfId="2996"/>
    <cellStyle name="Explanatory Text 3" xfId="2997"/>
    <cellStyle name="Explanatory Text 3 10" xfId="2998"/>
    <cellStyle name="Explanatory Text 3 11" xfId="2999"/>
    <cellStyle name="Explanatory Text 3 12" xfId="3000"/>
    <cellStyle name="Explanatory Text 3 13" xfId="3001"/>
    <cellStyle name="Explanatory Text 3 14" xfId="3002"/>
    <cellStyle name="Explanatory Text 3 15" xfId="3003"/>
    <cellStyle name="Explanatory Text 3 16" xfId="3004"/>
    <cellStyle name="Explanatory Text 3 17" xfId="3005"/>
    <cellStyle name="Explanatory Text 3 18" xfId="3006"/>
    <cellStyle name="Explanatory Text 3 19" xfId="3007"/>
    <cellStyle name="Explanatory Text 3 2" xfId="3008"/>
    <cellStyle name="Explanatory Text 3 3" xfId="3009"/>
    <cellStyle name="Explanatory Text 3 4" xfId="3010"/>
    <cellStyle name="Explanatory Text 3 5" xfId="3011"/>
    <cellStyle name="Explanatory Text 3 6" xfId="3012"/>
    <cellStyle name="Explanatory Text 3 7" xfId="3013"/>
    <cellStyle name="Explanatory Text 3 8" xfId="3014"/>
    <cellStyle name="Explanatory Text 3 9" xfId="3015"/>
    <cellStyle name="Explanatory Text 30" xfId="3016"/>
    <cellStyle name="Explanatory Text 31" xfId="3017"/>
    <cellStyle name="Explanatory Text 32" xfId="3018"/>
    <cellStyle name="Explanatory Text 33" xfId="3019"/>
    <cellStyle name="Explanatory Text 34" xfId="3020"/>
    <cellStyle name="Explanatory Text 35" xfId="3021"/>
    <cellStyle name="Explanatory Text 36" xfId="3022"/>
    <cellStyle name="Explanatory Text 37" xfId="3023"/>
    <cellStyle name="Explanatory Text 38" xfId="3024"/>
    <cellStyle name="Explanatory Text 39" xfId="3025"/>
    <cellStyle name="Explanatory Text 4" xfId="3026"/>
    <cellStyle name="Explanatory Text 4 10" xfId="3027"/>
    <cellStyle name="Explanatory Text 4 11" xfId="3028"/>
    <cellStyle name="Explanatory Text 4 12" xfId="3029"/>
    <cellStyle name="Explanatory Text 4 13" xfId="3030"/>
    <cellStyle name="Explanatory Text 4 14" xfId="3031"/>
    <cellStyle name="Explanatory Text 4 15" xfId="3032"/>
    <cellStyle name="Explanatory Text 4 16" xfId="3033"/>
    <cellStyle name="Explanatory Text 4 17" xfId="3034"/>
    <cellStyle name="Explanatory Text 4 18" xfId="3035"/>
    <cellStyle name="Explanatory Text 4 19" xfId="3036"/>
    <cellStyle name="Explanatory Text 4 2" xfId="3037"/>
    <cellStyle name="Explanatory Text 4 3" xfId="3038"/>
    <cellStyle name="Explanatory Text 4 4" xfId="3039"/>
    <cellStyle name="Explanatory Text 4 5" xfId="3040"/>
    <cellStyle name="Explanatory Text 4 6" xfId="3041"/>
    <cellStyle name="Explanatory Text 4 7" xfId="3042"/>
    <cellStyle name="Explanatory Text 4 8" xfId="3043"/>
    <cellStyle name="Explanatory Text 4 9" xfId="3044"/>
    <cellStyle name="Explanatory Text 40" xfId="3045"/>
    <cellStyle name="Explanatory Text 41" xfId="3046"/>
    <cellStyle name="Explanatory Text 42" xfId="3047"/>
    <cellStyle name="Explanatory Text 43" xfId="3048"/>
    <cellStyle name="Explanatory Text 44" xfId="3049"/>
    <cellStyle name="Explanatory Text 45" xfId="3050"/>
    <cellStyle name="Explanatory Text 46" xfId="3051"/>
    <cellStyle name="Explanatory Text 47" xfId="3052"/>
    <cellStyle name="Explanatory Text 48" xfId="3053"/>
    <cellStyle name="Explanatory Text 49" xfId="3054"/>
    <cellStyle name="Explanatory Text 5" xfId="3055"/>
    <cellStyle name="Explanatory Text 50" xfId="3056"/>
    <cellStyle name="Explanatory Text 6" xfId="3057"/>
    <cellStyle name="Explanatory Text 7" xfId="3058"/>
    <cellStyle name="Explanatory Text 8" xfId="3059"/>
    <cellStyle name="Explanatory Text 9" xfId="3060"/>
    <cellStyle name="Good" xfId="3061" builtinId="26" customBuiltin="1"/>
    <cellStyle name="Good 10" xfId="3062"/>
    <cellStyle name="Good 11" xfId="3063"/>
    <cellStyle name="Good 12" xfId="3064"/>
    <cellStyle name="Good 13" xfId="3065"/>
    <cellStyle name="Good 14" xfId="3066"/>
    <cellStyle name="Good 15" xfId="3067"/>
    <cellStyle name="Good 16" xfId="3068"/>
    <cellStyle name="Good 17" xfId="3069"/>
    <cellStyle name="Good 18" xfId="3070"/>
    <cellStyle name="Good 19" xfId="3071"/>
    <cellStyle name="Good 2" xfId="3072"/>
    <cellStyle name="Good 2 10" xfId="3073"/>
    <cellStyle name="Good 2 11" xfId="3074"/>
    <cellStyle name="Good 2 12" xfId="3075"/>
    <cellStyle name="Good 2 13" xfId="3076"/>
    <cellStyle name="Good 2 14" xfId="3077"/>
    <cellStyle name="Good 2 15" xfId="3078"/>
    <cellStyle name="Good 2 16" xfId="3079"/>
    <cellStyle name="Good 2 17" xfId="3080"/>
    <cellStyle name="Good 2 18" xfId="3081"/>
    <cellStyle name="Good 2 19" xfId="3082"/>
    <cellStyle name="Good 2 2" xfId="3083"/>
    <cellStyle name="Good 2 3" xfId="3084"/>
    <cellStyle name="Good 2 4" xfId="3085"/>
    <cellStyle name="Good 2 5" xfId="3086"/>
    <cellStyle name="Good 2 6" xfId="3087"/>
    <cellStyle name="Good 2 7" xfId="3088"/>
    <cellStyle name="Good 2 8" xfId="3089"/>
    <cellStyle name="Good 2 9" xfId="3090"/>
    <cellStyle name="Good 20" xfId="3091"/>
    <cellStyle name="Good 21" xfId="3092"/>
    <cellStyle name="Good 22" xfId="3093"/>
    <cellStyle name="Good 23" xfId="3094"/>
    <cellStyle name="Good 24" xfId="3095"/>
    <cellStyle name="Good 25" xfId="3096"/>
    <cellStyle name="Good 26" xfId="3097"/>
    <cellStyle name="Good 27" xfId="3098"/>
    <cellStyle name="Good 28" xfId="3099"/>
    <cellStyle name="Good 29" xfId="3100"/>
    <cellStyle name="Good 3" xfId="3101"/>
    <cellStyle name="Good 3 10" xfId="3102"/>
    <cellStyle name="Good 3 11" xfId="3103"/>
    <cellStyle name="Good 3 12" xfId="3104"/>
    <cellStyle name="Good 3 13" xfId="3105"/>
    <cellStyle name="Good 3 14" xfId="3106"/>
    <cellStyle name="Good 3 15" xfId="3107"/>
    <cellStyle name="Good 3 16" xfId="3108"/>
    <cellStyle name="Good 3 17" xfId="3109"/>
    <cellStyle name="Good 3 18" xfId="3110"/>
    <cellStyle name="Good 3 19" xfId="3111"/>
    <cellStyle name="Good 3 2" xfId="3112"/>
    <cellStyle name="Good 3 3" xfId="3113"/>
    <cellStyle name="Good 3 4" xfId="3114"/>
    <cellStyle name="Good 3 5" xfId="3115"/>
    <cellStyle name="Good 3 6" xfId="3116"/>
    <cellStyle name="Good 3 7" xfId="3117"/>
    <cellStyle name="Good 3 8" xfId="3118"/>
    <cellStyle name="Good 3 9" xfId="3119"/>
    <cellStyle name="Good 30" xfId="3120"/>
    <cellStyle name="Good 31" xfId="3121"/>
    <cellStyle name="Good 32" xfId="3122"/>
    <cellStyle name="Good 33" xfId="3123"/>
    <cellStyle name="Good 34" xfId="3124"/>
    <cellStyle name="Good 35" xfId="3125"/>
    <cellStyle name="Good 36" xfId="3126"/>
    <cellStyle name="Good 37" xfId="3127"/>
    <cellStyle name="Good 38" xfId="3128"/>
    <cellStyle name="Good 39" xfId="3129"/>
    <cellStyle name="Good 4" xfId="3130"/>
    <cellStyle name="Good 4 10" xfId="3131"/>
    <cellStyle name="Good 4 11" xfId="3132"/>
    <cellStyle name="Good 4 12" xfId="3133"/>
    <cellStyle name="Good 4 13" xfId="3134"/>
    <cellStyle name="Good 4 14" xfId="3135"/>
    <cellStyle name="Good 4 15" xfId="3136"/>
    <cellStyle name="Good 4 16" xfId="3137"/>
    <cellStyle name="Good 4 17" xfId="3138"/>
    <cellStyle name="Good 4 18" xfId="3139"/>
    <cellStyle name="Good 4 19" xfId="3140"/>
    <cellStyle name="Good 4 2" xfId="3141"/>
    <cellStyle name="Good 4 3" xfId="3142"/>
    <cellStyle name="Good 4 4" xfId="3143"/>
    <cellStyle name="Good 4 5" xfId="3144"/>
    <cellStyle name="Good 4 6" xfId="3145"/>
    <cellStyle name="Good 4 7" xfId="3146"/>
    <cellStyle name="Good 4 8" xfId="3147"/>
    <cellStyle name="Good 4 9" xfId="3148"/>
    <cellStyle name="Good 40" xfId="3149"/>
    <cellStyle name="Good 41" xfId="3150"/>
    <cellStyle name="Good 42" xfId="3151"/>
    <cellStyle name="Good 43" xfId="3152"/>
    <cellStyle name="Good 44" xfId="3153"/>
    <cellStyle name="Good 45" xfId="3154"/>
    <cellStyle name="Good 46" xfId="3155"/>
    <cellStyle name="Good 47" xfId="3156"/>
    <cellStyle name="Good 48" xfId="3157"/>
    <cellStyle name="Good 49" xfId="3158"/>
    <cellStyle name="Good 5" xfId="3159"/>
    <cellStyle name="Good 50" xfId="3160"/>
    <cellStyle name="Good 6" xfId="3161"/>
    <cellStyle name="Good 7" xfId="3162"/>
    <cellStyle name="Good 8" xfId="3163"/>
    <cellStyle name="Good 9" xfId="3164"/>
    <cellStyle name="header" xfId="3165"/>
    <cellStyle name="Header Total" xfId="3166"/>
    <cellStyle name="Header1" xfId="3167"/>
    <cellStyle name="Header2" xfId="3168"/>
    <cellStyle name="Header3" xfId="3169"/>
    <cellStyle name="Header4" xfId="3170"/>
    <cellStyle name="Heading" xfId="3171"/>
    <cellStyle name="Heading 1" xfId="3172" builtinId="16" customBuiltin="1"/>
    <cellStyle name="Heading 1 10" xfId="3173"/>
    <cellStyle name="Heading 1 11" xfId="3174"/>
    <cellStyle name="Heading 1 12" xfId="3175"/>
    <cellStyle name="Heading 1 13" xfId="3176"/>
    <cellStyle name="Heading 1 14" xfId="3177"/>
    <cellStyle name="Heading 1 15" xfId="3178"/>
    <cellStyle name="Heading 1 16" xfId="3179"/>
    <cellStyle name="Heading 1 17" xfId="3180"/>
    <cellStyle name="Heading 1 18" xfId="3181"/>
    <cellStyle name="Heading 1 19" xfId="3182"/>
    <cellStyle name="Heading 1 2" xfId="3183"/>
    <cellStyle name="Heading 1 2 10" xfId="3184"/>
    <cellStyle name="Heading 1 2 11" xfId="3185"/>
    <cellStyle name="Heading 1 2 12" xfId="3186"/>
    <cellStyle name="Heading 1 2 13" xfId="3187"/>
    <cellStyle name="Heading 1 2 14" xfId="3188"/>
    <cellStyle name="Heading 1 2 15" xfId="3189"/>
    <cellStyle name="Heading 1 2 16" xfId="3190"/>
    <cellStyle name="Heading 1 2 17" xfId="3191"/>
    <cellStyle name="Heading 1 2 18" xfId="3192"/>
    <cellStyle name="Heading 1 2 19" xfId="3193"/>
    <cellStyle name="Heading 1 2 2" xfId="3194"/>
    <cellStyle name="Heading 1 2 3" xfId="3195"/>
    <cellStyle name="Heading 1 2 4" xfId="3196"/>
    <cellStyle name="Heading 1 2 5" xfId="3197"/>
    <cellStyle name="Heading 1 2 6" xfId="3198"/>
    <cellStyle name="Heading 1 2 7" xfId="3199"/>
    <cellStyle name="Heading 1 2 8" xfId="3200"/>
    <cellStyle name="Heading 1 2 9" xfId="3201"/>
    <cellStyle name="Heading 1 20" xfId="3202"/>
    <cellStyle name="Heading 1 21" xfId="3203"/>
    <cellStyle name="Heading 1 22" xfId="3204"/>
    <cellStyle name="Heading 1 23" xfId="3205"/>
    <cellStyle name="Heading 1 24" xfId="3206"/>
    <cellStyle name="Heading 1 25" xfId="3207"/>
    <cellStyle name="Heading 1 26" xfId="3208"/>
    <cellStyle name="Heading 1 27" xfId="3209"/>
    <cellStyle name="Heading 1 28" xfId="3210"/>
    <cellStyle name="Heading 1 29" xfId="3211"/>
    <cellStyle name="Heading 1 3" xfId="3212"/>
    <cellStyle name="Heading 1 3 10" xfId="3213"/>
    <cellStyle name="Heading 1 3 11" xfId="3214"/>
    <cellStyle name="Heading 1 3 12" xfId="3215"/>
    <cellStyle name="Heading 1 3 13" xfId="3216"/>
    <cellStyle name="Heading 1 3 14" xfId="3217"/>
    <cellStyle name="Heading 1 3 15" xfId="3218"/>
    <cellStyle name="Heading 1 3 16" xfId="3219"/>
    <cellStyle name="Heading 1 3 17" xfId="3220"/>
    <cellStyle name="Heading 1 3 18" xfId="3221"/>
    <cellStyle name="Heading 1 3 19" xfId="3222"/>
    <cellStyle name="Heading 1 3 2" xfId="3223"/>
    <cellStyle name="Heading 1 3 3" xfId="3224"/>
    <cellStyle name="Heading 1 3 4" xfId="3225"/>
    <cellStyle name="Heading 1 3 5" xfId="3226"/>
    <cellStyle name="Heading 1 3 6" xfId="3227"/>
    <cellStyle name="Heading 1 3 7" xfId="3228"/>
    <cellStyle name="Heading 1 3 8" xfId="3229"/>
    <cellStyle name="Heading 1 3 9" xfId="3230"/>
    <cellStyle name="Heading 1 30" xfId="3231"/>
    <cellStyle name="Heading 1 31" xfId="3232"/>
    <cellStyle name="Heading 1 32" xfId="3233"/>
    <cellStyle name="Heading 1 33" xfId="3234"/>
    <cellStyle name="Heading 1 34" xfId="3235"/>
    <cellStyle name="Heading 1 35" xfId="3236"/>
    <cellStyle name="Heading 1 36" xfId="3237"/>
    <cellStyle name="Heading 1 37" xfId="3238"/>
    <cellStyle name="Heading 1 38" xfId="3239"/>
    <cellStyle name="Heading 1 39" xfId="3240"/>
    <cellStyle name="Heading 1 4" xfId="3241"/>
    <cellStyle name="Heading 1 4 10" xfId="3242"/>
    <cellStyle name="Heading 1 4 11" xfId="3243"/>
    <cellStyle name="Heading 1 4 12" xfId="3244"/>
    <cellStyle name="Heading 1 4 13" xfId="3245"/>
    <cellStyle name="Heading 1 4 14" xfId="3246"/>
    <cellStyle name="Heading 1 4 15" xfId="3247"/>
    <cellStyle name="Heading 1 4 16" xfId="3248"/>
    <cellStyle name="Heading 1 4 17" xfId="3249"/>
    <cellStyle name="Heading 1 4 18" xfId="3250"/>
    <cellStyle name="Heading 1 4 19" xfId="3251"/>
    <cellStyle name="Heading 1 4 2" xfId="3252"/>
    <cellStyle name="Heading 1 4 3" xfId="3253"/>
    <cellStyle name="Heading 1 4 4" xfId="3254"/>
    <cellStyle name="Heading 1 4 5" xfId="3255"/>
    <cellStyle name="Heading 1 4 6" xfId="3256"/>
    <cellStyle name="Heading 1 4 7" xfId="3257"/>
    <cellStyle name="Heading 1 4 8" xfId="3258"/>
    <cellStyle name="Heading 1 4 9" xfId="3259"/>
    <cellStyle name="Heading 1 40" xfId="3260"/>
    <cellStyle name="Heading 1 41" xfId="3261"/>
    <cellStyle name="Heading 1 42" xfId="3262"/>
    <cellStyle name="Heading 1 43" xfId="3263"/>
    <cellStyle name="Heading 1 44" xfId="3264"/>
    <cellStyle name="Heading 1 45" xfId="3265"/>
    <cellStyle name="Heading 1 46" xfId="3266"/>
    <cellStyle name="Heading 1 47" xfId="3267"/>
    <cellStyle name="Heading 1 48" xfId="3268"/>
    <cellStyle name="Heading 1 49" xfId="3269"/>
    <cellStyle name="Heading 1 5" xfId="3270"/>
    <cellStyle name="Heading 1 50" xfId="3271"/>
    <cellStyle name="Heading 1 6" xfId="3272"/>
    <cellStyle name="Heading 1 7" xfId="3273"/>
    <cellStyle name="Heading 1 8" xfId="3274"/>
    <cellStyle name="Heading 1 9" xfId="3275"/>
    <cellStyle name="Heading 2" xfId="3276" builtinId="17" customBuiltin="1"/>
    <cellStyle name="Heading 2 10" xfId="3277"/>
    <cellStyle name="Heading 2 11" xfId="3278"/>
    <cellStyle name="Heading 2 12" xfId="3279"/>
    <cellStyle name="Heading 2 13" xfId="3280"/>
    <cellStyle name="Heading 2 14" xfId="3281"/>
    <cellStyle name="Heading 2 15" xfId="3282"/>
    <cellStyle name="Heading 2 16" xfId="3283"/>
    <cellStyle name="Heading 2 17" xfId="3284"/>
    <cellStyle name="Heading 2 18" xfId="3285"/>
    <cellStyle name="Heading 2 19" xfId="3286"/>
    <cellStyle name="Heading 2 2" xfId="3287"/>
    <cellStyle name="Heading 2 2 10" xfId="3288"/>
    <cellStyle name="Heading 2 2 11" xfId="3289"/>
    <cellStyle name="Heading 2 2 12" xfId="3290"/>
    <cellStyle name="Heading 2 2 13" xfId="3291"/>
    <cellStyle name="Heading 2 2 14" xfId="3292"/>
    <cellStyle name="Heading 2 2 15" xfId="3293"/>
    <cellStyle name="Heading 2 2 16" xfId="3294"/>
    <cellStyle name="Heading 2 2 17" xfId="3295"/>
    <cellStyle name="Heading 2 2 18" xfId="3296"/>
    <cellStyle name="Heading 2 2 19" xfId="3297"/>
    <cellStyle name="Heading 2 2 2" xfId="3298"/>
    <cellStyle name="Heading 2 2 3" xfId="3299"/>
    <cellStyle name="Heading 2 2 4" xfId="3300"/>
    <cellStyle name="Heading 2 2 5" xfId="3301"/>
    <cellStyle name="Heading 2 2 6" xfId="3302"/>
    <cellStyle name="Heading 2 2 7" xfId="3303"/>
    <cellStyle name="Heading 2 2 8" xfId="3304"/>
    <cellStyle name="Heading 2 2 9" xfId="3305"/>
    <cellStyle name="Heading 2 20" xfId="3306"/>
    <cellStyle name="Heading 2 21" xfId="3307"/>
    <cellStyle name="Heading 2 22" xfId="3308"/>
    <cellStyle name="Heading 2 23" xfId="3309"/>
    <cellStyle name="Heading 2 24" xfId="3310"/>
    <cellStyle name="Heading 2 25" xfId="3311"/>
    <cellStyle name="Heading 2 26" xfId="3312"/>
    <cellStyle name="Heading 2 27" xfId="3313"/>
    <cellStyle name="Heading 2 28" xfId="3314"/>
    <cellStyle name="Heading 2 29" xfId="3315"/>
    <cellStyle name="Heading 2 3" xfId="3316"/>
    <cellStyle name="Heading 2 3 10" xfId="3317"/>
    <cellStyle name="Heading 2 3 11" xfId="3318"/>
    <cellStyle name="Heading 2 3 12" xfId="3319"/>
    <cellStyle name="Heading 2 3 13" xfId="3320"/>
    <cellStyle name="Heading 2 3 14" xfId="3321"/>
    <cellStyle name="Heading 2 3 15" xfId="3322"/>
    <cellStyle name="Heading 2 3 16" xfId="3323"/>
    <cellStyle name="Heading 2 3 17" xfId="3324"/>
    <cellStyle name="Heading 2 3 18" xfId="3325"/>
    <cellStyle name="Heading 2 3 19" xfId="3326"/>
    <cellStyle name="Heading 2 3 2" xfId="3327"/>
    <cellStyle name="Heading 2 3 3" xfId="3328"/>
    <cellStyle name="Heading 2 3 4" xfId="3329"/>
    <cellStyle name="Heading 2 3 5" xfId="3330"/>
    <cellStyle name="Heading 2 3 6" xfId="3331"/>
    <cellStyle name="Heading 2 3 7" xfId="3332"/>
    <cellStyle name="Heading 2 3 8" xfId="3333"/>
    <cellStyle name="Heading 2 3 9" xfId="3334"/>
    <cellStyle name="Heading 2 30" xfId="3335"/>
    <cellStyle name="Heading 2 31" xfId="3336"/>
    <cellStyle name="Heading 2 32" xfId="3337"/>
    <cellStyle name="Heading 2 33" xfId="3338"/>
    <cellStyle name="Heading 2 34" xfId="3339"/>
    <cellStyle name="Heading 2 35" xfId="3340"/>
    <cellStyle name="Heading 2 36" xfId="3341"/>
    <cellStyle name="Heading 2 37" xfId="3342"/>
    <cellStyle name="Heading 2 38" xfId="3343"/>
    <cellStyle name="Heading 2 39" xfId="3344"/>
    <cellStyle name="Heading 2 4" xfId="3345"/>
    <cellStyle name="Heading 2 4 10" xfId="3346"/>
    <cellStyle name="Heading 2 4 11" xfId="3347"/>
    <cellStyle name="Heading 2 4 12" xfId="3348"/>
    <cellStyle name="Heading 2 4 13" xfId="3349"/>
    <cellStyle name="Heading 2 4 14" xfId="3350"/>
    <cellStyle name="Heading 2 4 15" xfId="3351"/>
    <cellStyle name="Heading 2 4 16" xfId="3352"/>
    <cellStyle name="Heading 2 4 17" xfId="3353"/>
    <cellStyle name="Heading 2 4 18" xfId="3354"/>
    <cellStyle name="Heading 2 4 19" xfId="3355"/>
    <cellStyle name="Heading 2 4 2" xfId="3356"/>
    <cellStyle name="Heading 2 4 3" xfId="3357"/>
    <cellStyle name="Heading 2 4 4" xfId="3358"/>
    <cellStyle name="Heading 2 4 5" xfId="3359"/>
    <cellStyle name="Heading 2 4 6" xfId="3360"/>
    <cellStyle name="Heading 2 4 7" xfId="3361"/>
    <cellStyle name="Heading 2 4 8" xfId="3362"/>
    <cellStyle name="Heading 2 4 9" xfId="3363"/>
    <cellStyle name="Heading 2 40" xfId="3364"/>
    <cellStyle name="Heading 2 41" xfId="3365"/>
    <cellStyle name="Heading 2 42" xfId="3366"/>
    <cellStyle name="Heading 2 43" xfId="3367"/>
    <cellStyle name="Heading 2 44" xfId="3368"/>
    <cellStyle name="Heading 2 45" xfId="3369"/>
    <cellStyle name="Heading 2 46" xfId="3370"/>
    <cellStyle name="Heading 2 47" xfId="3371"/>
    <cellStyle name="Heading 2 48" xfId="3372"/>
    <cellStyle name="Heading 2 49" xfId="3373"/>
    <cellStyle name="Heading 2 5" xfId="3374"/>
    <cellStyle name="Heading 2 50" xfId="3375"/>
    <cellStyle name="Heading 2 6" xfId="3376"/>
    <cellStyle name="Heading 2 7" xfId="3377"/>
    <cellStyle name="Heading 2 8" xfId="3378"/>
    <cellStyle name="Heading 2 9" xfId="3379"/>
    <cellStyle name="Heading 3" xfId="3380" builtinId="18" customBuiltin="1"/>
    <cellStyle name="Heading 3 10" xfId="3381"/>
    <cellStyle name="Heading 3 11" xfId="3382"/>
    <cellStyle name="Heading 3 12" xfId="3383"/>
    <cellStyle name="Heading 3 13" xfId="3384"/>
    <cellStyle name="Heading 3 14" xfId="3385"/>
    <cellStyle name="Heading 3 15" xfId="3386"/>
    <cellStyle name="Heading 3 16" xfId="3387"/>
    <cellStyle name="Heading 3 17" xfId="3388"/>
    <cellStyle name="Heading 3 18" xfId="3389"/>
    <cellStyle name="Heading 3 19" xfId="3390"/>
    <cellStyle name="Heading 3 2" xfId="3391"/>
    <cellStyle name="Heading 3 2 10" xfId="3392"/>
    <cellStyle name="Heading 3 2 11" xfId="3393"/>
    <cellStyle name="Heading 3 2 12" xfId="3394"/>
    <cellStyle name="Heading 3 2 13" xfId="3395"/>
    <cellStyle name="Heading 3 2 14" xfId="3396"/>
    <cellStyle name="Heading 3 2 15" xfId="3397"/>
    <cellStyle name="Heading 3 2 16" xfId="3398"/>
    <cellStyle name="Heading 3 2 17" xfId="3399"/>
    <cellStyle name="Heading 3 2 18" xfId="3400"/>
    <cellStyle name="Heading 3 2 19" xfId="3401"/>
    <cellStyle name="Heading 3 2 2" xfId="3402"/>
    <cellStyle name="Heading 3 2 3" xfId="3403"/>
    <cellStyle name="Heading 3 2 4" xfId="3404"/>
    <cellStyle name="Heading 3 2 5" xfId="3405"/>
    <cellStyle name="Heading 3 2 6" xfId="3406"/>
    <cellStyle name="Heading 3 2 7" xfId="3407"/>
    <cellStyle name="Heading 3 2 8" xfId="3408"/>
    <cellStyle name="Heading 3 2 9" xfId="3409"/>
    <cellStyle name="Heading 3 20" xfId="3410"/>
    <cellStyle name="Heading 3 21" xfId="3411"/>
    <cellStyle name="Heading 3 22" xfId="3412"/>
    <cellStyle name="Heading 3 23" xfId="3413"/>
    <cellStyle name="Heading 3 24" xfId="3414"/>
    <cellStyle name="Heading 3 25" xfId="3415"/>
    <cellStyle name="Heading 3 26" xfId="3416"/>
    <cellStyle name="Heading 3 27" xfId="3417"/>
    <cellStyle name="Heading 3 28" xfId="3418"/>
    <cellStyle name="Heading 3 29" xfId="3419"/>
    <cellStyle name="Heading 3 3" xfId="3420"/>
    <cellStyle name="Heading 3 3 10" xfId="3421"/>
    <cellStyle name="Heading 3 3 11" xfId="3422"/>
    <cellStyle name="Heading 3 3 12" xfId="3423"/>
    <cellStyle name="Heading 3 3 13" xfId="3424"/>
    <cellStyle name="Heading 3 3 14" xfId="3425"/>
    <cellStyle name="Heading 3 3 15" xfId="3426"/>
    <cellStyle name="Heading 3 3 16" xfId="3427"/>
    <cellStyle name="Heading 3 3 17" xfId="3428"/>
    <cellStyle name="Heading 3 3 18" xfId="3429"/>
    <cellStyle name="Heading 3 3 19" xfId="3430"/>
    <cellStyle name="Heading 3 3 2" xfId="3431"/>
    <cellStyle name="Heading 3 3 3" xfId="3432"/>
    <cellStyle name="Heading 3 3 4" xfId="3433"/>
    <cellStyle name="Heading 3 3 5" xfId="3434"/>
    <cellStyle name="Heading 3 3 6" xfId="3435"/>
    <cellStyle name="Heading 3 3 7" xfId="3436"/>
    <cellStyle name="Heading 3 3 8" xfId="3437"/>
    <cellStyle name="Heading 3 3 9" xfId="3438"/>
    <cellStyle name="Heading 3 30" xfId="3439"/>
    <cellStyle name="Heading 3 31" xfId="3440"/>
    <cellStyle name="Heading 3 32" xfId="3441"/>
    <cellStyle name="Heading 3 33" xfId="3442"/>
    <cellStyle name="Heading 3 34" xfId="3443"/>
    <cellStyle name="Heading 3 35" xfId="3444"/>
    <cellStyle name="Heading 3 36" xfId="3445"/>
    <cellStyle name="Heading 3 37" xfId="3446"/>
    <cellStyle name="Heading 3 38" xfId="3447"/>
    <cellStyle name="Heading 3 39" xfId="3448"/>
    <cellStyle name="Heading 3 4" xfId="3449"/>
    <cellStyle name="Heading 3 4 10" xfId="3450"/>
    <cellStyle name="Heading 3 4 11" xfId="3451"/>
    <cellStyle name="Heading 3 4 12" xfId="3452"/>
    <cellStyle name="Heading 3 4 13" xfId="3453"/>
    <cellStyle name="Heading 3 4 14" xfId="3454"/>
    <cellStyle name="Heading 3 4 15" xfId="3455"/>
    <cellStyle name="Heading 3 4 16" xfId="3456"/>
    <cellStyle name="Heading 3 4 17" xfId="3457"/>
    <cellStyle name="Heading 3 4 18" xfId="3458"/>
    <cellStyle name="Heading 3 4 19" xfId="3459"/>
    <cellStyle name="Heading 3 4 2" xfId="3460"/>
    <cellStyle name="Heading 3 4 3" xfId="3461"/>
    <cellStyle name="Heading 3 4 4" xfId="3462"/>
    <cellStyle name="Heading 3 4 5" xfId="3463"/>
    <cellStyle name="Heading 3 4 6" xfId="3464"/>
    <cellStyle name="Heading 3 4 7" xfId="3465"/>
    <cellStyle name="Heading 3 4 8" xfId="3466"/>
    <cellStyle name="Heading 3 4 9" xfId="3467"/>
    <cellStyle name="Heading 3 40" xfId="3468"/>
    <cellStyle name="Heading 3 41" xfId="3469"/>
    <cellStyle name="Heading 3 42" xfId="3470"/>
    <cellStyle name="Heading 3 43" xfId="3471"/>
    <cellStyle name="Heading 3 44" xfId="3472"/>
    <cellStyle name="Heading 3 45" xfId="3473"/>
    <cellStyle name="Heading 3 46" xfId="3474"/>
    <cellStyle name="Heading 3 47" xfId="3475"/>
    <cellStyle name="Heading 3 48" xfId="3476"/>
    <cellStyle name="Heading 3 49" xfId="3477"/>
    <cellStyle name="Heading 3 5" xfId="3478"/>
    <cellStyle name="Heading 3 50" xfId="3479"/>
    <cellStyle name="Heading 3 6" xfId="3480"/>
    <cellStyle name="Heading 3 7" xfId="3481"/>
    <cellStyle name="Heading 3 8" xfId="3482"/>
    <cellStyle name="Heading 3 9" xfId="3483"/>
    <cellStyle name="Heading 4" xfId="3484" builtinId="19" customBuiltin="1"/>
    <cellStyle name="Heading 4 10" xfId="3485"/>
    <cellStyle name="Heading 4 11" xfId="3486"/>
    <cellStyle name="Heading 4 12" xfId="3487"/>
    <cellStyle name="Heading 4 13" xfId="3488"/>
    <cellStyle name="Heading 4 14" xfId="3489"/>
    <cellStyle name="Heading 4 15" xfId="3490"/>
    <cellStyle name="Heading 4 16" xfId="3491"/>
    <cellStyle name="Heading 4 17" xfId="3492"/>
    <cellStyle name="Heading 4 18" xfId="3493"/>
    <cellStyle name="Heading 4 19" xfId="3494"/>
    <cellStyle name="Heading 4 2" xfId="3495"/>
    <cellStyle name="Heading 4 2 10" xfId="3496"/>
    <cellStyle name="Heading 4 2 11" xfId="3497"/>
    <cellStyle name="Heading 4 2 12" xfId="3498"/>
    <cellStyle name="Heading 4 2 13" xfId="3499"/>
    <cellStyle name="Heading 4 2 14" xfId="3500"/>
    <cellStyle name="Heading 4 2 15" xfId="3501"/>
    <cellStyle name="Heading 4 2 16" xfId="3502"/>
    <cellStyle name="Heading 4 2 17" xfId="3503"/>
    <cellStyle name="Heading 4 2 18" xfId="3504"/>
    <cellStyle name="Heading 4 2 19" xfId="3505"/>
    <cellStyle name="Heading 4 2 2" xfId="3506"/>
    <cellStyle name="Heading 4 2 3" xfId="3507"/>
    <cellStyle name="Heading 4 2 4" xfId="3508"/>
    <cellStyle name="Heading 4 2 5" xfId="3509"/>
    <cellStyle name="Heading 4 2 6" xfId="3510"/>
    <cellStyle name="Heading 4 2 7" xfId="3511"/>
    <cellStyle name="Heading 4 2 8" xfId="3512"/>
    <cellStyle name="Heading 4 2 9" xfId="3513"/>
    <cellStyle name="Heading 4 20" xfId="3514"/>
    <cellStyle name="Heading 4 21" xfId="3515"/>
    <cellStyle name="Heading 4 22" xfId="3516"/>
    <cellStyle name="Heading 4 23" xfId="3517"/>
    <cellStyle name="Heading 4 24" xfId="3518"/>
    <cellStyle name="Heading 4 25" xfId="3519"/>
    <cellStyle name="Heading 4 26" xfId="3520"/>
    <cellStyle name="Heading 4 27" xfId="3521"/>
    <cellStyle name="Heading 4 28" xfId="3522"/>
    <cellStyle name="Heading 4 29" xfId="3523"/>
    <cellStyle name="Heading 4 3" xfId="3524"/>
    <cellStyle name="Heading 4 3 10" xfId="3525"/>
    <cellStyle name="Heading 4 3 11" xfId="3526"/>
    <cellStyle name="Heading 4 3 12" xfId="3527"/>
    <cellStyle name="Heading 4 3 13" xfId="3528"/>
    <cellStyle name="Heading 4 3 14" xfId="3529"/>
    <cellStyle name="Heading 4 3 15" xfId="3530"/>
    <cellStyle name="Heading 4 3 16" xfId="3531"/>
    <cellStyle name="Heading 4 3 17" xfId="3532"/>
    <cellStyle name="Heading 4 3 18" xfId="3533"/>
    <cellStyle name="Heading 4 3 19" xfId="3534"/>
    <cellStyle name="Heading 4 3 2" xfId="3535"/>
    <cellStyle name="Heading 4 3 3" xfId="3536"/>
    <cellStyle name="Heading 4 3 4" xfId="3537"/>
    <cellStyle name="Heading 4 3 5" xfId="3538"/>
    <cellStyle name="Heading 4 3 6" xfId="3539"/>
    <cellStyle name="Heading 4 3 7" xfId="3540"/>
    <cellStyle name="Heading 4 3 8" xfId="3541"/>
    <cellStyle name="Heading 4 3 9" xfId="3542"/>
    <cellStyle name="Heading 4 30" xfId="3543"/>
    <cellStyle name="Heading 4 31" xfId="3544"/>
    <cellStyle name="Heading 4 32" xfId="3545"/>
    <cellStyle name="Heading 4 33" xfId="3546"/>
    <cellStyle name="Heading 4 34" xfId="3547"/>
    <cellStyle name="Heading 4 35" xfId="3548"/>
    <cellStyle name="Heading 4 36" xfId="3549"/>
    <cellStyle name="Heading 4 37" xfId="3550"/>
    <cellStyle name="Heading 4 38" xfId="3551"/>
    <cellStyle name="Heading 4 39" xfId="3552"/>
    <cellStyle name="Heading 4 4" xfId="3553"/>
    <cellStyle name="Heading 4 4 10" xfId="3554"/>
    <cellStyle name="Heading 4 4 11" xfId="3555"/>
    <cellStyle name="Heading 4 4 12" xfId="3556"/>
    <cellStyle name="Heading 4 4 13" xfId="3557"/>
    <cellStyle name="Heading 4 4 14" xfId="3558"/>
    <cellStyle name="Heading 4 4 15" xfId="3559"/>
    <cellStyle name="Heading 4 4 16" xfId="3560"/>
    <cellStyle name="Heading 4 4 17" xfId="3561"/>
    <cellStyle name="Heading 4 4 18" xfId="3562"/>
    <cellStyle name="Heading 4 4 19" xfId="3563"/>
    <cellStyle name="Heading 4 4 2" xfId="3564"/>
    <cellStyle name="Heading 4 4 3" xfId="3565"/>
    <cellStyle name="Heading 4 4 4" xfId="3566"/>
    <cellStyle name="Heading 4 4 5" xfId="3567"/>
    <cellStyle name="Heading 4 4 6" xfId="3568"/>
    <cellStyle name="Heading 4 4 7" xfId="3569"/>
    <cellStyle name="Heading 4 4 8" xfId="3570"/>
    <cellStyle name="Heading 4 4 9" xfId="3571"/>
    <cellStyle name="Heading 4 40" xfId="3572"/>
    <cellStyle name="Heading 4 41" xfId="3573"/>
    <cellStyle name="Heading 4 42" xfId="3574"/>
    <cellStyle name="Heading 4 43" xfId="3575"/>
    <cellStyle name="Heading 4 44" xfId="3576"/>
    <cellStyle name="Heading 4 45" xfId="3577"/>
    <cellStyle name="Heading 4 46" xfId="3578"/>
    <cellStyle name="Heading 4 47" xfId="3579"/>
    <cellStyle name="Heading 4 48" xfId="3580"/>
    <cellStyle name="Heading 4 49" xfId="3581"/>
    <cellStyle name="Heading 4 5" xfId="3582"/>
    <cellStyle name="Heading 4 50" xfId="3583"/>
    <cellStyle name="Heading 4 6" xfId="3584"/>
    <cellStyle name="Heading 4 7" xfId="3585"/>
    <cellStyle name="Heading 4 8" xfId="3586"/>
    <cellStyle name="Heading 4 9" xfId="3587"/>
    <cellStyle name="Heading No Underline" xfId="3588"/>
    <cellStyle name="Heading With Underline" xfId="3589"/>
    <cellStyle name="Input" xfId="3590" builtinId="20" customBuiltin="1"/>
    <cellStyle name="Input 10" xfId="3591"/>
    <cellStyle name="Input 11" xfId="3592"/>
    <cellStyle name="Input 12" xfId="3593"/>
    <cellStyle name="Input 13" xfId="3594"/>
    <cellStyle name="Input 14" xfId="3595"/>
    <cellStyle name="Input 15" xfId="3596"/>
    <cellStyle name="Input 16" xfId="3597"/>
    <cellStyle name="Input 17" xfId="3598"/>
    <cellStyle name="Input 18" xfId="3599"/>
    <cellStyle name="Input 19" xfId="3600"/>
    <cellStyle name="Input 2" xfId="3601"/>
    <cellStyle name="Input 2 10" xfId="3602"/>
    <cellStyle name="Input 2 11" xfId="3603"/>
    <cellStyle name="Input 2 12" xfId="3604"/>
    <cellStyle name="Input 2 13" xfId="3605"/>
    <cellStyle name="Input 2 14" xfId="3606"/>
    <cellStyle name="Input 2 15" xfId="3607"/>
    <cellStyle name="Input 2 16" xfId="3608"/>
    <cellStyle name="Input 2 17" xfId="3609"/>
    <cellStyle name="Input 2 18" xfId="3610"/>
    <cellStyle name="Input 2 19" xfId="3611"/>
    <cellStyle name="Input 2 2" xfId="3612"/>
    <cellStyle name="Input 2 3" xfId="3613"/>
    <cellStyle name="Input 2 4" xfId="3614"/>
    <cellStyle name="Input 2 5" xfId="3615"/>
    <cellStyle name="Input 2 6" xfId="3616"/>
    <cellStyle name="Input 2 7" xfId="3617"/>
    <cellStyle name="Input 2 8" xfId="3618"/>
    <cellStyle name="Input 2 9" xfId="3619"/>
    <cellStyle name="Input 20" xfId="3620"/>
    <cellStyle name="Input 21" xfId="3621"/>
    <cellStyle name="Input 22" xfId="3622"/>
    <cellStyle name="Input 23" xfId="3623"/>
    <cellStyle name="Input 24" xfId="3624"/>
    <cellStyle name="Input 25" xfId="3625"/>
    <cellStyle name="Input 26" xfId="3626"/>
    <cellStyle name="Input 27" xfId="3627"/>
    <cellStyle name="Input 28" xfId="3628"/>
    <cellStyle name="Input 29" xfId="3629"/>
    <cellStyle name="Input 3" xfId="3630"/>
    <cellStyle name="Input 3 10" xfId="3631"/>
    <cellStyle name="Input 3 11" xfId="3632"/>
    <cellStyle name="Input 3 12" xfId="3633"/>
    <cellStyle name="Input 3 13" xfId="3634"/>
    <cellStyle name="Input 3 14" xfId="3635"/>
    <cellStyle name="Input 3 15" xfId="3636"/>
    <cellStyle name="Input 3 16" xfId="3637"/>
    <cellStyle name="Input 3 17" xfId="3638"/>
    <cellStyle name="Input 3 18" xfId="3639"/>
    <cellStyle name="Input 3 19" xfId="3640"/>
    <cellStyle name="Input 3 2" xfId="3641"/>
    <cellStyle name="Input 3 3" xfId="3642"/>
    <cellStyle name="Input 3 4" xfId="3643"/>
    <cellStyle name="Input 3 5" xfId="3644"/>
    <cellStyle name="Input 3 6" xfId="3645"/>
    <cellStyle name="Input 3 7" xfId="3646"/>
    <cellStyle name="Input 3 8" xfId="3647"/>
    <cellStyle name="Input 3 9" xfId="3648"/>
    <cellStyle name="Input 30" xfId="3649"/>
    <cellStyle name="Input 31" xfId="3650"/>
    <cellStyle name="Input 32" xfId="3651"/>
    <cellStyle name="Input 33" xfId="3652"/>
    <cellStyle name="Input 34" xfId="3653"/>
    <cellStyle name="Input 35" xfId="3654"/>
    <cellStyle name="Input 36" xfId="3655"/>
    <cellStyle name="Input 37" xfId="3656"/>
    <cellStyle name="Input 38" xfId="3657"/>
    <cellStyle name="Input 39" xfId="3658"/>
    <cellStyle name="Input 4" xfId="3659"/>
    <cellStyle name="Input 4 10" xfId="3660"/>
    <cellStyle name="Input 4 11" xfId="3661"/>
    <cellStyle name="Input 4 12" xfId="3662"/>
    <cellStyle name="Input 4 13" xfId="3663"/>
    <cellStyle name="Input 4 14" xfId="3664"/>
    <cellStyle name="Input 4 15" xfId="3665"/>
    <cellStyle name="Input 4 16" xfId="3666"/>
    <cellStyle name="Input 4 17" xfId="3667"/>
    <cellStyle name="Input 4 18" xfId="3668"/>
    <cellStyle name="Input 4 19" xfId="3669"/>
    <cellStyle name="Input 4 2" xfId="3670"/>
    <cellStyle name="Input 4 3" xfId="3671"/>
    <cellStyle name="Input 4 4" xfId="3672"/>
    <cellStyle name="Input 4 5" xfId="3673"/>
    <cellStyle name="Input 4 6" xfId="3674"/>
    <cellStyle name="Input 4 7" xfId="3675"/>
    <cellStyle name="Input 4 8" xfId="3676"/>
    <cellStyle name="Input 4 9" xfId="3677"/>
    <cellStyle name="Input 40" xfId="3678"/>
    <cellStyle name="Input 41" xfId="3679"/>
    <cellStyle name="Input 42" xfId="3680"/>
    <cellStyle name="Input 43" xfId="3681"/>
    <cellStyle name="Input 44" xfId="3682"/>
    <cellStyle name="Input 45" xfId="3683"/>
    <cellStyle name="Input 46" xfId="3684"/>
    <cellStyle name="Input 47" xfId="3685"/>
    <cellStyle name="Input 48" xfId="3686"/>
    <cellStyle name="Input 49" xfId="3687"/>
    <cellStyle name="Input 5" xfId="3688"/>
    <cellStyle name="Input 50" xfId="3689"/>
    <cellStyle name="Input 6" xfId="3690"/>
    <cellStyle name="Input 7" xfId="3691"/>
    <cellStyle name="Input 8" xfId="3692"/>
    <cellStyle name="Input 9" xfId="3693"/>
    <cellStyle name="Linked Cell" xfId="3694" builtinId="24" customBuiltin="1"/>
    <cellStyle name="Linked Cell 10" xfId="3695"/>
    <cellStyle name="Linked Cell 11" xfId="3696"/>
    <cellStyle name="Linked Cell 12" xfId="3697"/>
    <cellStyle name="Linked Cell 13" xfId="3698"/>
    <cellStyle name="Linked Cell 14" xfId="3699"/>
    <cellStyle name="Linked Cell 15" xfId="3700"/>
    <cellStyle name="Linked Cell 16" xfId="3701"/>
    <cellStyle name="Linked Cell 17" xfId="3702"/>
    <cellStyle name="Linked Cell 18" xfId="3703"/>
    <cellStyle name="Linked Cell 19" xfId="3704"/>
    <cellStyle name="Linked Cell 2" xfId="3705"/>
    <cellStyle name="Linked Cell 2 10" xfId="3706"/>
    <cellStyle name="Linked Cell 2 11" xfId="3707"/>
    <cellStyle name="Linked Cell 2 12" xfId="3708"/>
    <cellStyle name="Linked Cell 2 13" xfId="3709"/>
    <cellStyle name="Linked Cell 2 14" xfId="3710"/>
    <cellStyle name="Linked Cell 2 15" xfId="3711"/>
    <cellStyle name="Linked Cell 2 16" xfId="3712"/>
    <cellStyle name="Linked Cell 2 17" xfId="3713"/>
    <cellStyle name="Linked Cell 2 18" xfId="3714"/>
    <cellStyle name="Linked Cell 2 19" xfId="3715"/>
    <cellStyle name="Linked Cell 2 2" xfId="3716"/>
    <cellStyle name="Linked Cell 2 3" xfId="3717"/>
    <cellStyle name="Linked Cell 2 4" xfId="3718"/>
    <cellStyle name="Linked Cell 2 5" xfId="3719"/>
    <cellStyle name="Linked Cell 2 6" xfId="3720"/>
    <cellStyle name="Linked Cell 2 7" xfId="3721"/>
    <cellStyle name="Linked Cell 2 8" xfId="3722"/>
    <cellStyle name="Linked Cell 2 9" xfId="3723"/>
    <cellStyle name="Linked Cell 20" xfId="3724"/>
    <cellStyle name="Linked Cell 21" xfId="3725"/>
    <cellStyle name="Linked Cell 22" xfId="3726"/>
    <cellStyle name="Linked Cell 23" xfId="3727"/>
    <cellStyle name="Linked Cell 24" xfId="3728"/>
    <cellStyle name="Linked Cell 25" xfId="3729"/>
    <cellStyle name="Linked Cell 26" xfId="3730"/>
    <cellStyle name="Linked Cell 27" xfId="3731"/>
    <cellStyle name="Linked Cell 28" xfId="3732"/>
    <cellStyle name="Linked Cell 29" xfId="3733"/>
    <cellStyle name="Linked Cell 3" xfId="3734"/>
    <cellStyle name="Linked Cell 3 10" xfId="3735"/>
    <cellStyle name="Linked Cell 3 11" xfId="3736"/>
    <cellStyle name="Linked Cell 3 12" xfId="3737"/>
    <cellStyle name="Linked Cell 3 13" xfId="3738"/>
    <cellStyle name="Linked Cell 3 14" xfId="3739"/>
    <cellStyle name="Linked Cell 3 15" xfId="3740"/>
    <cellStyle name="Linked Cell 3 16" xfId="3741"/>
    <cellStyle name="Linked Cell 3 17" xfId="3742"/>
    <cellStyle name="Linked Cell 3 18" xfId="3743"/>
    <cellStyle name="Linked Cell 3 19" xfId="3744"/>
    <cellStyle name="Linked Cell 3 2" xfId="3745"/>
    <cellStyle name="Linked Cell 3 3" xfId="3746"/>
    <cellStyle name="Linked Cell 3 4" xfId="3747"/>
    <cellStyle name="Linked Cell 3 5" xfId="3748"/>
    <cellStyle name="Linked Cell 3 6" xfId="3749"/>
    <cellStyle name="Linked Cell 3 7" xfId="3750"/>
    <cellStyle name="Linked Cell 3 8" xfId="3751"/>
    <cellStyle name="Linked Cell 3 9" xfId="3752"/>
    <cellStyle name="Linked Cell 30" xfId="3753"/>
    <cellStyle name="Linked Cell 31" xfId="3754"/>
    <cellStyle name="Linked Cell 32" xfId="3755"/>
    <cellStyle name="Linked Cell 33" xfId="3756"/>
    <cellStyle name="Linked Cell 34" xfId="3757"/>
    <cellStyle name="Linked Cell 35" xfId="3758"/>
    <cellStyle name="Linked Cell 36" xfId="3759"/>
    <cellStyle name="Linked Cell 37" xfId="3760"/>
    <cellStyle name="Linked Cell 38" xfId="3761"/>
    <cellStyle name="Linked Cell 39" xfId="3762"/>
    <cellStyle name="Linked Cell 4" xfId="3763"/>
    <cellStyle name="Linked Cell 4 10" xfId="3764"/>
    <cellStyle name="Linked Cell 4 11" xfId="3765"/>
    <cellStyle name="Linked Cell 4 12" xfId="3766"/>
    <cellStyle name="Linked Cell 4 13" xfId="3767"/>
    <cellStyle name="Linked Cell 4 14" xfId="3768"/>
    <cellStyle name="Linked Cell 4 15" xfId="3769"/>
    <cellStyle name="Linked Cell 4 16" xfId="3770"/>
    <cellStyle name="Linked Cell 4 17" xfId="3771"/>
    <cellStyle name="Linked Cell 4 18" xfId="3772"/>
    <cellStyle name="Linked Cell 4 19" xfId="3773"/>
    <cellStyle name="Linked Cell 4 2" xfId="3774"/>
    <cellStyle name="Linked Cell 4 3" xfId="3775"/>
    <cellStyle name="Linked Cell 4 4" xfId="3776"/>
    <cellStyle name="Linked Cell 4 5" xfId="3777"/>
    <cellStyle name="Linked Cell 4 6" xfId="3778"/>
    <cellStyle name="Linked Cell 4 7" xfId="3779"/>
    <cellStyle name="Linked Cell 4 8" xfId="3780"/>
    <cellStyle name="Linked Cell 4 9" xfId="3781"/>
    <cellStyle name="Linked Cell 40" xfId="3782"/>
    <cellStyle name="Linked Cell 41" xfId="3783"/>
    <cellStyle name="Linked Cell 42" xfId="3784"/>
    <cellStyle name="Linked Cell 43" xfId="3785"/>
    <cellStyle name="Linked Cell 44" xfId="3786"/>
    <cellStyle name="Linked Cell 45" xfId="3787"/>
    <cellStyle name="Linked Cell 46" xfId="3788"/>
    <cellStyle name="Linked Cell 47" xfId="3789"/>
    <cellStyle name="Linked Cell 48" xfId="3790"/>
    <cellStyle name="Linked Cell 49" xfId="3791"/>
    <cellStyle name="Linked Cell 5" xfId="3792"/>
    <cellStyle name="Linked Cell 50" xfId="3793"/>
    <cellStyle name="Linked Cell 6" xfId="3794"/>
    <cellStyle name="Linked Cell 7" xfId="3795"/>
    <cellStyle name="Linked Cell 8" xfId="3796"/>
    <cellStyle name="Linked Cell 9" xfId="3797"/>
    <cellStyle name="Neutral" xfId="3798" builtinId="28" customBuiltin="1"/>
    <cellStyle name="Neutral 10" xfId="3799"/>
    <cellStyle name="Neutral 11" xfId="3800"/>
    <cellStyle name="Neutral 12" xfId="3801"/>
    <cellStyle name="Neutral 13" xfId="3802"/>
    <cellStyle name="Neutral 14" xfId="3803"/>
    <cellStyle name="Neutral 15" xfId="3804"/>
    <cellStyle name="Neutral 16" xfId="3805"/>
    <cellStyle name="Neutral 17" xfId="3806"/>
    <cellStyle name="Neutral 18" xfId="3807"/>
    <cellStyle name="Neutral 19" xfId="3808"/>
    <cellStyle name="Neutral 2" xfId="3809"/>
    <cellStyle name="Neutral 2 10" xfId="3810"/>
    <cellStyle name="Neutral 2 11" xfId="3811"/>
    <cellStyle name="Neutral 2 12" xfId="3812"/>
    <cellStyle name="Neutral 2 13" xfId="3813"/>
    <cellStyle name="Neutral 2 14" xfId="3814"/>
    <cellStyle name="Neutral 2 15" xfId="3815"/>
    <cellStyle name="Neutral 2 16" xfId="3816"/>
    <cellStyle name="Neutral 2 17" xfId="3817"/>
    <cellStyle name="Neutral 2 18" xfId="3818"/>
    <cellStyle name="Neutral 2 19" xfId="3819"/>
    <cellStyle name="Neutral 2 2" xfId="3820"/>
    <cellStyle name="Neutral 2 3" xfId="3821"/>
    <cellStyle name="Neutral 2 4" xfId="3822"/>
    <cellStyle name="Neutral 2 5" xfId="3823"/>
    <cellStyle name="Neutral 2 6" xfId="3824"/>
    <cellStyle name="Neutral 2 7" xfId="3825"/>
    <cellStyle name="Neutral 2 8" xfId="3826"/>
    <cellStyle name="Neutral 2 9" xfId="3827"/>
    <cellStyle name="Neutral 20" xfId="3828"/>
    <cellStyle name="Neutral 21" xfId="3829"/>
    <cellStyle name="Neutral 22" xfId="3830"/>
    <cellStyle name="Neutral 23" xfId="3831"/>
    <cellStyle name="Neutral 24" xfId="3832"/>
    <cellStyle name="Neutral 25" xfId="3833"/>
    <cellStyle name="Neutral 26" xfId="3834"/>
    <cellStyle name="Neutral 27" xfId="3835"/>
    <cellStyle name="Neutral 28" xfId="3836"/>
    <cellStyle name="Neutral 29" xfId="3837"/>
    <cellStyle name="Neutral 3" xfId="3838"/>
    <cellStyle name="Neutral 3 10" xfId="3839"/>
    <cellStyle name="Neutral 3 11" xfId="3840"/>
    <cellStyle name="Neutral 3 12" xfId="3841"/>
    <cellStyle name="Neutral 3 13" xfId="3842"/>
    <cellStyle name="Neutral 3 14" xfId="3843"/>
    <cellStyle name="Neutral 3 15" xfId="3844"/>
    <cellStyle name="Neutral 3 16" xfId="3845"/>
    <cellStyle name="Neutral 3 17" xfId="3846"/>
    <cellStyle name="Neutral 3 18" xfId="3847"/>
    <cellStyle name="Neutral 3 19" xfId="3848"/>
    <cellStyle name="Neutral 3 2" xfId="3849"/>
    <cellStyle name="Neutral 3 3" xfId="3850"/>
    <cellStyle name="Neutral 3 4" xfId="3851"/>
    <cellStyle name="Neutral 3 5" xfId="3852"/>
    <cellStyle name="Neutral 3 6" xfId="3853"/>
    <cellStyle name="Neutral 3 7" xfId="3854"/>
    <cellStyle name="Neutral 3 8" xfId="3855"/>
    <cellStyle name="Neutral 3 9" xfId="3856"/>
    <cellStyle name="Neutral 30" xfId="3857"/>
    <cellStyle name="Neutral 31" xfId="3858"/>
    <cellStyle name="Neutral 32" xfId="3859"/>
    <cellStyle name="Neutral 33" xfId="3860"/>
    <cellStyle name="Neutral 34" xfId="3861"/>
    <cellStyle name="Neutral 35" xfId="3862"/>
    <cellStyle name="Neutral 36" xfId="3863"/>
    <cellStyle name="Neutral 37" xfId="3864"/>
    <cellStyle name="Neutral 38" xfId="3865"/>
    <cellStyle name="Neutral 39" xfId="3866"/>
    <cellStyle name="Neutral 4" xfId="3867"/>
    <cellStyle name="Neutral 4 10" xfId="3868"/>
    <cellStyle name="Neutral 4 11" xfId="3869"/>
    <cellStyle name="Neutral 4 12" xfId="3870"/>
    <cellStyle name="Neutral 4 13" xfId="3871"/>
    <cellStyle name="Neutral 4 14" xfId="3872"/>
    <cellStyle name="Neutral 4 15" xfId="3873"/>
    <cellStyle name="Neutral 4 16" xfId="3874"/>
    <cellStyle name="Neutral 4 17" xfId="3875"/>
    <cellStyle name="Neutral 4 18" xfId="3876"/>
    <cellStyle name="Neutral 4 19" xfId="3877"/>
    <cellStyle name="Neutral 4 2" xfId="3878"/>
    <cellStyle name="Neutral 4 3" xfId="3879"/>
    <cellStyle name="Neutral 5" xfId="3880"/>
    <cellStyle name="NonPrint_Heading" xfId="3881"/>
    <cellStyle name="Normal" xfId="0" builtinId="0"/>
    <cellStyle name="Normal 10" xfId="3964"/>
    <cellStyle name="Normal 2" xfId="3965"/>
    <cellStyle name="Normal 2 2" xfId="3882"/>
    <cellStyle name="Normal 2 3" xfId="3883"/>
    <cellStyle name="Normal 2 4" xfId="3884"/>
    <cellStyle name="Normal 2 5" xfId="3885"/>
    <cellStyle name="Normal 2 6" xfId="3886"/>
    <cellStyle name="Normal 2 7" xfId="3887"/>
    <cellStyle name="Normal 2 8" xfId="3974"/>
    <cellStyle name="Normal 3" xfId="3966"/>
    <cellStyle name="Normal 4" xfId="3967"/>
    <cellStyle name="Normal 5" xfId="3968"/>
    <cellStyle name="Normal 6" xfId="3969"/>
    <cellStyle name="Normal 7" xfId="3888"/>
    <cellStyle name="Normal 7 2" xfId="3970"/>
    <cellStyle name="Normal 8" xfId="3971"/>
    <cellStyle name="Normal 9" xfId="3959"/>
    <cellStyle name="Normal, Valuation Summary" xfId="3889"/>
    <cellStyle name="Note" xfId="3890" builtinId="10" customBuiltin="1"/>
    <cellStyle name="Note 10" xfId="3972"/>
    <cellStyle name="Note 2" xfId="3891"/>
    <cellStyle name="Note 2 2" xfId="3892"/>
    <cellStyle name="Note 3" xfId="3893"/>
    <cellStyle name="Note 3 2" xfId="3894"/>
    <cellStyle name="Note 4" xfId="3895"/>
    <cellStyle name="Note 4 2" xfId="3896"/>
    <cellStyle name="Note 5" xfId="3897"/>
    <cellStyle name="Note 5 2" xfId="3898"/>
    <cellStyle name="Note 6" xfId="3899"/>
    <cellStyle name="Note 6 2" xfId="3900"/>
    <cellStyle name="Note 7" xfId="3901"/>
    <cellStyle name="Note 8" xfId="3902"/>
    <cellStyle name="Note 9" xfId="3958"/>
    <cellStyle name="Output" xfId="3903" builtinId="21" customBuiltin="1"/>
    <cellStyle name="Output 2" xfId="3904"/>
    <cellStyle name="Output 3" xfId="3905"/>
    <cellStyle name="Output 4" xfId="3906"/>
    <cellStyle name="Output 5" xfId="3907"/>
    <cellStyle name="Page Heading" xfId="3908"/>
    <cellStyle name="Percent" xfId="3909" builtinId="5"/>
    <cellStyle name="Percent %" xfId="3910"/>
    <cellStyle name="Percent % Long Underline" xfId="3911"/>
    <cellStyle name="Percent (0)" xfId="3912"/>
    <cellStyle name="Percent (0) 2" xfId="3913"/>
    <cellStyle name="Percent (0) 2 2" xfId="3914"/>
    <cellStyle name="Percent (0) 3" xfId="3915"/>
    <cellStyle name="Percent _" xfId="3916"/>
    <cellStyle name="Percent 0.0%" xfId="3917"/>
    <cellStyle name="Percent 0.0% Long Underline" xfId="3918"/>
    <cellStyle name="Percent 0.00%" xfId="3919"/>
    <cellStyle name="Percent 0.00% Long Underline" xfId="3920"/>
    <cellStyle name="Percent 0.000%" xfId="3921"/>
    <cellStyle name="Percent 0.000% Long Underline" xfId="3922"/>
    <cellStyle name="Percent 0.0000%" xfId="3923"/>
    <cellStyle name="Percent 0.0000% Long Underline" xfId="3924"/>
    <cellStyle name="Product Title" xfId="3925"/>
    <cellStyle name="Style 1" xfId="3926"/>
    <cellStyle name="Style 1 2" xfId="3927"/>
    <cellStyle name="Style 1 2 2" xfId="3928"/>
    <cellStyle name="Style 1 3" xfId="3929"/>
    <cellStyle name="Style, Proj." xfId="3930"/>
    <cellStyle name="Style, Proj. 2" xfId="3931"/>
    <cellStyle name="Style, Proj. 3" xfId="3932"/>
    <cellStyle name="Text" xfId="3933"/>
    <cellStyle name="Tickmark" xfId="3934"/>
    <cellStyle name="Title" xfId="3935" builtinId="15" customBuiltin="1"/>
    <cellStyle name="Title 2" xfId="3936"/>
    <cellStyle name="Title 3" xfId="3937"/>
    <cellStyle name="Title 4" xfId="3938"/>
    <cellStyle name="Title 5" xfId="3939"/>
    <cellStyle name="Total" xfId="3940" builtinId="25" customBuiltin="1"/>
    <cellStyle name="Total 2" xfId="3941"/>
    <cellStyle name="Total 3" xfId="3942"/>
    <cellStyle name="Total 4" xfId="3943"/>
    <cellStyle name="Total 5" xfId="3944"/>
    <cellStyle name="Warning Text" xfId="3945" builtinId="11" customBuiltin="1"/>
    <cellStyle name="Warning Text 2" xfId="3946"/>
    <cellStyle name="Warning Text 3" xfId="3947"/>
    <cellStyle name="Warning Text 4" xfId="3948"/>
    <cellStyle name="Warning Text 5" xfId="3949"/>
    <cellStyle name="XComma" xfId="3950"/>
    <cellStyle name="XComma 0.0" xfId="3951"/>
    <cellStyle name="XComma 0.00" xfId="3952"/>
    <cellStyle name="XComma 0.000" xfId="3953"/>
    <cellStyle name="XCurrency" xfId="3954"/>
    <cellStyle name="XCurrency 0.0" xfId="3955"/>
    <cellStyle name="XCurrency 0.00" xfId="3956"/>
    <cellStyle name="XCurrency 0.000" xfId="395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67"/>
  <sheetViews>
    <sheetView tabSelected="1" topLeftCell="A40" zoomScale="70" zoomScaleNormal="70" workbookViewId="0">
      <selection activeCell="L64" sqref="L64"/>
    </sheetView>
  </sheetViews>
  <sheetFormatPr defaultRowHeight="13.2"/>
  <cols>
    <col min="1" max="1" width="47.6640625" style="5" customWidth="1"/>
    <col min="2" max="2" width="22.33203125" style="2" customWidth="1"/>
    <col min="3" max="4" width="23.6640625" style="2" customWidth="1"/>
    <col min="5" max="5" width="22.33203125" style="2" customWidth="1"/>
    <col min="6" max="7" width="20.33203125" style="2" customWidth="1"/>
    <col min="9" max="9" width="11.109375" bestFit="1" customWidth="1"/>
  </cols>
  <sheetData>
    <row r="1" spans="1:9">
      <c r="A1" s="1" t="s">
        <v>34</v>
      </c>
      <c r="B1" s="1"/>
      <c r="C1" s="1"/>
      <c r="D1" s="1"/>
    </row>
    <row r="2" spans="1:9">
      <c r="A2" s="3"/>
      <c r="B2" s="4"/>
      <c r="C2" s="4"/>
    </row>
    <row r="5" spans="1:9">
      <c r="A5" s="6" t="s">
        <v>35</v>
      </c>
      <c r="B5" s="5"/>
      <c r="C5" s="5"/>
      <c r="D5" s="5"/>
      <c r="E5" s="5"/>
      <c r="F5" s="5"/>
    </row>
    <row r="7" spans="1:9" ht="45.6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9" s="37" customFormat="1">
      <c r="A8" s="11" t="s">
        <v>7</v>
      </c>
      <c r="B8" s="28">
        <f>41437240101.23 + 33118338904.9961 + 61612641597.1151 + 3078632234.86 + 5822144353.08 + 4190542557.55 + 5440452699.7 + 46077138311.02 + 44879596499.2 + 3321411760.66 + 15050813825.96 + 0 + 37565594417.3979 + 9005534253.65613 + 1933234769.63 + 66889365710.17</f>
        <v>379422681996.22516</v>
      </c>
      <c r="C8" s="28">
        <f>27019138815.82 + 5481363146.23072 + 42576661196.1853 + 257880152.28 + 12881563427.97 + 1926238039.48 + 5394684521.07 + 21279315571.21 + 26350232963.71 + 0 + 15091762981.88 + 0 + 21051750862.1619 + 3564021709.48441 + 297901747.29 + 11517914210.18</f>
        <v>194690429344.9523</v>
      </c>
      <c r="D8" s="28">
        <f>0 + 0 + 0 + 0 + 2566505230.62 + 0 + 0 + 4877643771.32 + 0 + 0 + 0 + 0 + 0 + 0 + 0 + 0</f>
        <v>7444149001.9399996</v>
      </c>
      <c r="E8" s="28">
        <f>36665025379.39 + 8734489587.8788 + 35883154706.309 + 535983661.12 + 24744804877.65 + 3307513876.59 + 3451501369.16 + 51449429231.9 + 32164996274.11 + 0 + 10251989391.89 + 0 + 43505544718.8326 + 4862986596.02988 + 0 + 16836797496.95</f>
        <v>272394217167.8103</v>
      </c>
      <c r="F8" s="28">
        <f>12531379633.78 + 5095413108.89369 + 3978686500.82094 + 66118797 + 2011687872.5 + 303767048.14 + 6436381018.78001 + 2942556082.84 + 9451737893.12 + 0 + 2543914071.68999 + 0 + 35395081350.546 + 919164076.186185 + 0 + 1099310926.97</f>
        <v>82775198381.266815</v>
      </c>
      <c r="G8" s="28">
        <f>117652783930.22 + 52429604747.9993 + 144051144000.43 + 3938614845.26 + 48026705761.82 + 9728061521.76 + 20723019608.71 + 126626082968.29 + 112846563630.14 + 3321411760.66 + 42938480271.42 + 0 + 137517971348.938 + 18351706635.3566 + 2231136516.92 + 96343388344.27</f>
        <v>936726675892.19397</v>
      </c>
      <c r="H8" s="35" t="b">
        <f>ROUND(G8,0)=ROUND(SUM(B8:F8),0)</f>
        <v>1</v>
      </c>
      <c r="I8" s="36">
        <f>G8/G31</f>
        <v>0.90058886189275944</v>
      </c>
    </row>
    <row r="9" spans="1:9">
      <c r="A9" s="12" t="s">
        <v>8</v>
      </c>
      <c r="B9" s="34">
        <f>0 + 4056168114.1557 + 17112040044.88 + 1585543438.51721 + 13358866068.0469 + 43340758152.75</f>
        <v>79453375818.349808</v>
      </c>
      <c r="C9" s="34">
        <f>0 + 3874744656.3595 + 7301169581.31 + 8546367832.93756 + 4944130608.75</f>
        <v>24666412679.357059</v>
      </c>
      <c r="D9" s="34">
        <f>0 + 2796052527.91 + 0</f>
        <v>2796052527.9099998</v>
      </c>
      <c r="E9" s="34">
        <f>0 + 1410181325.74401 + 19794841937.24 + 21012834456.5946 + 7257968306.87</f>
        <v>49475826026.448616</v>
      </c>
      <c r="F9" s="34">
        <f>0 + 3510801859.00633 + 413790134.11 + 14178460058.9606 + 193605950.87</f>
        <v>18296658002.94693</v>
      </c>
      <c r="G9" s="34">
        <f>0 + 0 + 0 + 0 + 0 + 0 + 12851895955.2655 + 47417894225.45 + 0 + 1585543438.51721 + 0 + 0 + 57096528416.5397 + 0 + 0 + 55736463019.24</f>
        <v>174688325055.01242</v>
      </c>
      <c r="H9" s="25" t="b">
        <f t="shared" ref="H9:H67" si="0">ROUND(G9,0)=ROUND(SUM(B9:F9),0)</f>
        <v>1</v>
      </c>
    </row>
    <row r="10" spans="1:9">
      <c r="A10" s="12" t="s">
        <v>9</v>
      </c>
      <c r="B10" s="34">
        <f>5685293282.87067 + 26005118609.435 + 3028969582.59 + 898370445.893396 + 350495477.823914 + 12105961276.99</f>
        <v>48074208675.602982</v>
      </c>
      <c r="C10" s="34">
        <f>596301444.9 + 2432606382.07691 + 235427377.49 + 210856257.927872 + 2227352611.97</f>
        <v>5702544074.3647823</v>
      </c>
      <c r="D10" s="34">
        <f>0 + 0 + 0</f>
        <v>0</v>
      </c>
      <c r="E10" s="34">
        <f>1919631021.15 + 4256479201.6578 + 533254724.58 + 164973990.763662 + 3551481194.65</f>
        <v>10425820132.801462</v>
      </c>
      <c r="F10" s="34">
        <f>461823414.43 + 4186950349.9371 + 62711983.93 + 268831692.999234 + 338790876.91</f>
        <v>5319108318.2063341</v>
      </c>
      <c r="G10" s="34">
        <f>8663049163.35067 + 36881154543.1068 + 0 + 3860363668.59 + 0 + 0 + 0 + 0 + 0 + 898370445.893396 + 0 + 0 + 995157419.514683 + 0 + 0 + 18223585960.52</f>
        <v>69521681200.975555</v>
      </c>
      <c r="H10" s="25" t="b">
        <f t="shared" si="0"/>
        <v>1</v>
      </c>
    </row>
    <row r="11" spans="1:9">
      <c r="A11" s="12" t="s">
        <v>10</v>
      </c>
      <c r="B11" s="34">
        <f>219050712.69 + 2539327760.699 + 1933234769.63</f>
        <v>4691613243.0190001</v>
      </c>
      <c r="C11" s="34">
        <f>959070.87 + 1023596822.58164 + 297901747.29</f>
        <v>1322457640.7416401</v>
      </c>
      <c r="D11" s="34">
        <f>0 + 0</f>
        <v>0</v>
      </c>
      <c r="E11" s="34">
        <f>127462246.22 + 1471229601.73908</f>
        <v>1598691847.95908</v>
      </c>
      <c r="F11" s="34">
        <f>0 + 1820128077.42255</f>
        <v>1820128077.42255</v>
      </c>
      <c r="G11" s="34">
        <f>347472029.78 + 0 + 0 + 0 + 0 + 0 + 0 + 0 + 0 + 0 + 0 + 0 + 6854282262.44227 + 0 + 2231136516.92 + 0</f>
        <v>9432890809.1422691</v>
      </c>
      <c r="H11" s="25" t="b">
        <f t="shared" si="0"/>
        <v>1</v>
      </c>
    </row>
    <row r="12" spans="1:9">
      <c r="A12" s="12" t="s">
        <v>11</v>
      </c>
      <c r="B12" s="34">
        <f>35532896105.6693 + 6823705191.95576 + 54902470271.191 + 35871238.42 + 5776524021.7 + 4190542557.55 + 1384284585.5443 + 27877735780.0099 + 43892276675.54 + 837497876.249392 + 11387768384.19 + 21316738264.6287 + 7051772714.94566 + 11442646280.43</f>
        <v>232452729948.02399</v>
      </c>
      <c r="C12" s="34">
        <f>26421878300.05 + 2900651382.07691 + 29544397682.8055 + 10413325.15 + 11461471934.15 + 1926238039.48 + 1519939864.7105 + 13192740283.4 + 24790808678.28 + 11839285915.14 + 11270929948.7148 + 3171521534.80135 + 4346430989.46</f>
        <v>142396707878.21902</v>
      </c>
      <c r="D12" s="34">
        <f>0 + 0 + 0 + 1136441072.43 + 1900260778.7 + 0 + 0</f>
        <v>3036701851.1300001</v>
      </c>
      <c r="E12" s="34">
        <f>34617932112.02 + 4345859201.6578 + 26984059316.2498 + 2577390.83 + 24036302012.02 + 3307513876.59 + 2041320043.41599 + 29759127813.23 + 30939210549.22 + 9035695011.89 + 20840386289.8592 + 4737981286.01356 + 6027347995.43</f>
        <v>196675312898.42633</v>
      </c>
      <c r="F12" s="34">
        <f>12069556219.35 + 727956023.237096 + 3548873552.00958 + 3404364.15 + 1726554169.78 + 303767048.14 + 2602729648.89946 + 2481305510.24 + 9259136419.78 + 2304621623.21999 + 19127126782.1295 + 870356522.799754 + 566914099.19</f>
        <v>55592301982.925377</v>
      </c>
      <c r="G12" s="34">
        <f>108642262737.089 + 14798171798.9276 + 114979800822.256 + 52266318.55 + 44137293210.08 + 9728061521.76 + 7548274142.57025 + 75211170165.5799 + 108881432322.82 + 837497876.249392 + 34567370934.44 + 0 + 72555181285.3323 + 15831632058.5603 + 0 + 22383339364.51</f>
        <v>630153754558.72473</v>
      </c>
      <c r="H12" s="25" t="b">
        <f t="shared" si="0"/>
        <v>1</v>
      </c>
    </row>
    <row r="13" spans="1:9">
      <c r="A13" s="12" t="s">
        <v>12</v>
      </c>
      <c r="B13" s="34">
        <f>0 + 289515103.605312 + 6710171325.92411 + 13791413.85 + 45620331.38 + 0 + 1087362486.13 + 987319823.66 + 3663045441.77 + 166846.199352059 + 1953761538.71047</f>
        <v>14750754311.229246</v>
      </c>
      <c r="C13" s="34">
        <f>0 + 148105382.076905 + 13032263513.3799 + 12039449.64 + 1420091493.82 + 0 + 785405706.5 + 1559424285.43 + 3252477066.74 + 0 + 392500174.683059</f>
        <v>20602307072.269863</v>
      </c>
      <c r="D13" s="34">
        <f>0 + 0 + 0 + 1430064158.19 + 181330464.71 + 0 + 0</f>
        <v>1611394622.9000001</v>
      </c>
      <c r="E13" s="34">
        <f>0 + 132151184.563202 + 8899095390.05925 + 151545.71 + 708502865.63 + 0 + 1895459481.43 + 1225785724.89 + 1216294380 + 16120379.8760229 + 125005310.016319</f>
        <v>14218566262.174791</v>
      </c>
      <c r="F13" s="34">
        <f>0 + 180506735.719499 + 429812948.811365 + 2448.92 + 285133702.72 + 322849510.874212 + 47460438.49 + 192601473.34 + 239292448.47 + 534739.034129621 + 48807553.3864312</f>
        <v>1747001999.7656367</v>
      </c>
      <c r="G13" s="34">
        <f>0 + 750278405.964919 + 29071343178.1746 + 25984858.12 + 3889412551.74 + 0 + 322849510.874212 + 3997018577.26 + 3965131307.32 + 0 + 8371109336.98 + 0 + 16821965.1095046 + 2520074576.79628 + 0 + 0</f>
        <v>52930024268.339516</v>
      </c>
      <c r="H13" s="25" t="b">
        <f t="shared" si="0"/>
        <v>1</v>
      </c>
    </row>
    <row r="14" spans="1:9">
      <c r="A14" s="12" t="s">
        <v>13</v>
      </c>
      <c r="B14" s="34">
        <f>0 + 0 + 0</f>
        <v>0</v>
      </c>
      <c r="C14" s="34">
        <f>0 + 0</f>
        <v>0</v>
      </c>
      <c r="D14" s="34">
        <f>0 + 0</f>
        <v>0</v>
      </c>
      <c r="E14" s="34">
        <f>0 + 0</f>
        <v>0</v>
      </c>
      <c r="F14" s="34">
        <f>0 + 0</f>
        <v>0</v>
      </c>
      <c r="G14" s="34">
        <f>0 + 0 + 0 + 0 + 0 + 0 + 0 + 0 + 0 + 0 + 0 + 0 + 0 + 0 + 0 + 0</f>
        <v>0</v>
      </c>
      <c r="H14" s="25" t="b">
        <f t="shared" si="0"/>
        <v>1</v>
      </c>
    </row>
    <row r="15" spans="1:9" s="37" customFormat="1">
      <c r="A15" s="13" t="s">
        <v>14</v>
      </c>
      <c r="B15" s="28">
        <f>510640465.43 + 194918334.191481 + 17180998629.1024 + 0 + 743911377.06 + 7072640748.84 + 56720225.8608331 + 853789834.863564 + 811948679.16 + 0 + 0 + 0 + 0 + 0 + 0 + 20552192.82</f>
        <v>27446120487.328281</v>
      </c>
      <c r="C15" s="28">
        <f>517137060.930743 + 0 + 0 + 0 + 0 + 34938349.32 + 0 + 0 + 104376352.97 + 0 + 0 + 0 + 0 + 0 + 0 + 0</f>
        <v>656451763.22074306</v>
      </c>
      <c r="D15" s="28">
        <f>0 + 0 + 0 + 0 + 0 + 0 + 0 + 0 + 0 + 0 + 0 + 0 + 0 + 0 + 0 + 0</f>
        <v>0</v>
      </c>
      <c r="E15" s="28">
        <f>826626175.09 + 0 + 0 + 0 + 0 + 1850340326.16 + 0 + 2529696.243165 + 235284204.56 + 0 + 0 + 0 + 0 + 0 + 0 + 0</f>
        <v>2914780402.053165</v>
      </c>
      <c r="F15" s="28">
        <f>3366495664.95173 + 9983391.08386378 + 0 + 0 + 0 + 685512641.7 + 395845297.88139 + 7268671709.5809 + 1908104797.4 + 0 + 573698260.882725 + 0 + 0 + 63734422.4462048 + 0 + 0</f>
        <v>14272046185.926813</v>
      </c>
      <c r="G15" s="28">
        <f>5220899366.40247 + 204901725.275345 + 17180998629.1024 + 0 + 743911377.06 + 9643432066.02 + 452565523.742223 + 8124991240.68763 + 3059714034.09 + 0 + 573698260.882725 + 0 + 0 + 63734422.4462048 + 0 + 20552192.82</f>
        <v>45289398838.528999</v>
      </c>
      <c r="H15" s="35" t="b">
        <f t="shared" si="0"/>
        <v>1</v>
      </c>
    </row>
    <row r="16" spans="1:9">
      <c r="A16" s="12" t="s">
        <v>8</v>
      </c>
      <c r="B16" s="34">
        <f>0 + 42288166.8610238 + 51297972.065389 + 0 + 3324194.21</f>
        <v>96910333.136412784</v>
      </c>
      <c r="C16" s="34">
        <f>0 + 0 + 0</f>
        <v>0</v>
      </c>
      <c r="D16" s="34">
        <f>0 + 0</f>
        <v>0</v>
      </c>
      <c r="E16" s="34">
        <f>0 + 0 + 0 + 0</f>
        <v>0</v>
      </c>
      <c r="F16" s="34">
        <f>0 + 215918604.511751 + 538020773.729543 + 0</f>
        <v>753939378.24129391</v>
      </c>
      <c r="G16" s="34">
        <f>0 + 0 + 0 + 0 + 0 + 0 + 258206771.372775 + 589318745.794932 + 0 + 0 + 0 + 0 + 0 + 0 + 0 + 3324194.21</f>
        <v>850849711.377707</v>
      </c>
      <c r="H16" s="25" t="b">
        <f t="shared" si="0"/>
        <v>1</v>
      </c>
    </row>
    <row r="17" spans="1:8">
      <c r="A17" s="12" t="s">
        <v>9</v>
      </c>
      <c r="B17" s="34">
        <f>8042513.05 + 68406111.3971604 + 0 + 5920661.07</f>
        <v>82369285.517160386</v>
      </c>
      <c r="C17" s="34">
        <f>4176413.51 + 0 + 0</f>
        <v>4176413.51</v>
      </c>
      <c r="D17" s="34">
        <f>0 + 0 + 0</f>
        <v>0</v>
      </c>
      <c r="E17" s="34">
        <f>12990100.22 + 0 + 0</f>
        <v>12990100.220000001</v>
      </c>
      <c r="F17" s="34">
        <f>24677290.02 + 7628301.40858726 + 0</f>
        <v>32305591.428587258</v>
      </c>
      <c r="G17" s="34">
        <f>49886316.8 + 76034412.8057476 + 0 + 0 + 0 + 0 + 0 + 0 + 0 + 0 + 0 + 0 + 0 + 0 + 0 + 5920661.07</f>
        <v>131841390.6757476</v>
      </c>
      <c r="H17" s="25" t="b">
        <f t="shared" si="0"/>
        <v>1</v>
      </c>
    </row>
    <row r="18" spans="1:8">
      <c r="A18" s="12" t="s">
        <v>10</v>
      </c>
      <c r="B18" s="34">
        <f>0 + 0</f>
        <v>0</v>
      </c>
      <c r="C18" s="34">
        <f>0 + 0</f>
        <v>0</v>
      </c>
      <c r="D18" s="34">
        <f>0 + 0</f>
        <v>0</v>
      </c>
      <c r="E18" s="34">
        <f>0 + 0</f>
        <v>0</v>
      </c>
      <c r="F18" s="34">
        <f>0 + 0</f>
        <v>0</v>
      </c>
      <c r="G18" s="34">
        <f>0 + 0 + 0 + 0 + 0 + 0 + 0 + 0 + 0 + 0 + 0 + 0 + 0 + 0 + 0 + 0</f>
        <v>0</v>
      </c>
      <c r="H18" s="25" t="b">
        <f t="shared" si="0"/>
        <v>1</v>
      </c>
    </row>
    <row r="19" spans="1:8">
      <c r="A19" s="12" t="s">
        <v>11</v>
      </c>
      <c r="B19" s="34">
        <f>502597952.38 + 122330111.39716 + 14056566174.7406 + 742053321.07 + 7072640748.84 + 14432058.9998093 + 789549031.943523 + 772659889.6 + 0 + 11307337.54</f>
        <v>24084136626.511093</v>
      </c>
      <c r="C19" s="34">
        <f>512960647.420743 + 0 + 34938349.32 + 0 + 97052390.96 + 0</f>
        <v>644951387.70074308</v>
      </c>
      <c r="D19" s="34">
        <f>0 + 0 + 0</f>
        <v>0</v>
      </c>
      <c r="E19" s="34">
        <f>813636074.87 + 0 + 1850340326.16 + 0 + 2161252.524606 + 232368356.9 + 0</f>
        <v>2898506010.4546065</v>
      </c>
      <c r="F19" s="34">
        <f>3341818374.93173 + 2352089.67527652 + 685512641.7 + 160071053.930337 + 6324505421.83294 + 1884207342.67 + 564590797.922265 + 0 + 63734422.4462048</f>
        <v>13026792145.108753</v>
      </c>
      <c r="G19" s="34">
        <f>5171013049.60247 + 124682201.072437 + 14056566174.7406 + 0 + 742053321.07 + 9643432066.02 + 174503112.930147 + 7116215706.30107 + 2986287980.13 + 0 + 564590797.922265 + 0 + 0 + 63734422.4462048 + 0 + 11307337.54</f>
        <v>40654386169.775192</v>
      </c>
      <c r="H19" s="25" t="b">
        <f t="shared" si="0"/>
        <v>1</v>
      </c>
    </row>
    <row r="20" spans="1:8">
      <c r="A20" s="12" t="s">
        <v>12</v>
      </c>
      <c r="B20" s="34">
        <f>0 + 4182111.39716035 + 3124432454.36178 + 1858055.99 + 0 + 12942830.854652 + 39288789.56 + 0</f>
        <v>3182704242.1635923</v>
      </c>
      <c r="C20" s="34">
        <f>0 + 0 + 0 + 7323962.01 + 0</f>
        <v>7323962.0099999998</v>
      </c>
      <c r="D20" s="34">
        <f>0 + 0 + 0</f>
        <v>0</v>
      </c>
      <c r="E20" s="34">
        <f>0 + 0 + 0 + 368443.718559 + 2915847.66 + 0</f>
        <v>3284291.3785590003</v>
      </c>
      <c r="F20" s="34">
        <f>0 + 3000 + 19855639.4393021 + 406145514.018423 + 23897454.73 + 9107462.96046 + 0</f>
        <v>459009071.14818513</v>
      </c>
      <c r="G20" s="34">
        <f>0 + 4185111.39716035 + 3124432454.36178 + 0 + 1858055.99 + 0 + 19855639.4393021 + 419456788.591634 + 73426053.96 + 0 + 9107462.96046 + 0 + 0 + 0 + 0 + 0</f>
        <v>3652321566.7003365</v>
      </c>
      <c r="H20" s="25" t="b">
        <f t="shared" si="0"/>
        <v>1</v>
      </c>
    </row>
    <row r="21" spans="1:8">
      <c r="A21" s="12" t="s">
        <v>13</v>
      </c>
      <c r="B21" s="34">
        <f>0 + 0</f>
        <v>0</v>
      </c>
      <c r="C21" s="34">
        <f>0 + 0</f>
        <v>0</v>
      </c>
      <c r="D21" s="34">
        <f>0 + 0</f>
        <v>0</v>
      </c>
      <c r="E21" s="34">
        <f>0 + 0</f>
        <v>0</v>
      </c>
      <c r="F21" s="34">
        <f>0 + 0</f>
        <v>0</v>
      </c>
      <c r="G21" s="34">
        <f>0 + 0 + 0 + 0 + 0 + 0 + 0 + 0 + 0 + 0 + 0 + 0 + 0 + 0 + 0 + 0</f>
        <v>0</v>
      </c>
      <c r="H21" s="25" t="b">
        <f t="shared" si="0"/>
        <v>1</v>
      </c>
    </row>
    <row r="22" spans="1:8">
      <c r="A22" s="14"/>
      <c r="B22" s="27"/>
      <c r="C22" s="27"/>
      <c r="D22" s="27"/>
      <c r="E22" s="27"/>
      <c r="F22" s="27"/>
      <c r="G22" s="27"/>
      <c r="H22" s="25"/>
    </row>
    <row r="23" spans="1:8" s="37" customFormat="1">
      <c r="A23" s="13" t="s">
        <v>15</v>
      </c>
      <c r="B23" s="28">
        <f>0 + 0 + 0 + 0 + 0 + 0 + 1254141471.34 + 114142.48 + 0 + 0 + 139064.78 + 0 + 0 + 0 + 0 + 0</f>
        <v>1254394678.5999999</v>
      </c>
      <c r="C23" s="28">
        <f>0 + 0 + 0 + 0 + 0 + 20353132.19 + 2828835472.9 + 34851693.85 + 68754859.88 + 0 + 58549327.05 + 0 + 3190871472.77652 + 0 + 0 + 31773984.13</f>
        <v>6233989942.7765207</v>
      </c>
      <c r="D23" s="28">
        <f>0 + 0 + 0 + 0 + 0 + 0 + 0 + 0 + 0 + 0 + 0 + 0 + 0 + 0 + 0 + 0</f>
        <v>0</v>
      </c>
      <c r="E23" s="28">
        <f>0 + 0 + 0 + 0 + 0 + 774687883.03 + 2164447199.83 + 882076909.43 + 214511629.68 + 0 + 30998684.42 + 605197738 + 7398025541.78483 + 26404350.2976885 + 0 + 8507729.61</f>
        <v>12104857666.08252</v>
      </c>
      <c r="F23" s="28">
        <f>0 + 0 + 0 + 0 + 0 + 723085283.28 + 5900069001.16 + 0 + 0 + 0 + 4755286.79 + 35596764 + 2846843121.62386 + 0 + 0 + 226685218.8</f>
        <v>9737034675.6538582</v>
      </c>
      <c r="G23" s="30">
        <f>0 + 0 + 0 + 0 + 0 + 1518126298.5 + 12147493145.23 + 917042745.76 + 283266489.56 + 0 + 94442363.04 + 640794502 + 13435740136.1852 + 26404350.2976885 + 0 + 266966932.54</f>
        <v>29330276963.112888</v>
      </c>
      <c r="H23" s="35" t="b">
        <f t="shared" si="0"/>
        <v>1</v>
      </c>
    </row>
    <row r="24" spans="1:8">
      <c r="A24" s="15" t="s">
        <v>16</v>
      </c>
      <c r="B24" s="34">
        <f>0 + 139064.78 + 0</f>
        <v>139064.78</v>
      </c>
      <c r="C24" s="34">
        <f>0 + 25111417.77 + 37356203.91 + 56501776.6 + 2990783288.93945 + 14090817.26</f>
        <v>3123843504.4794502</v>
      </c>
      <c r="D24" s="34">
        <f>0 + 0</f>
        <v>0</v>
      </c>
      <c r="E24" s="34">
        <f>0 + 22701410.88 + 75183481.79 + 30605024.99 + 5232717472.71725 + 26404350.2976885</f>
        <v>5387611740.6749382</v>
      </c>
      <c r="F24" s="34">
        <f>0 + 4755286.79 + 2692198486.25939 + 39773001.83</f>
        <v>2736726774.8793898</v>
      </c>
      <c r="G24" s="34">
        <f>0 + 0 + 0 + 0 + 0 + 0 + 0 + 47812828.65 + 112539685.7 + 0 + 92001153.16 + 0 + 10915699247.9161 + 26404350.2976885 + 0 + 53863819.09</f>
        <v>11248321084.813789</v>
      </c>
      <c r="H24" s="25" t="b">
        <f t="shared" si="0"/>
        <v>1</v>
      </c>
    </row>
    <row r="25" spans="1:8">
      <c r="A25" s="15" t="s">
        <v>17</v>
      </c>
      <c r="B25" s="34">
        <f>0 + 0 + 1254141471.34 + 114142.48 + 0</f>
        <v>1254255613.8199999</v>
      </c>
      <c r="C25" s="34">
        <f>0 + 20353132.19 + 2828835472.9 + 9740276.08 + 31398655.97 + 2047550.45 + 200088183.837075 + 17683166.87</f>
        <v>3110146438.2970743</v>
      </c>
      <c r="D25" s="34">
        <f>0 + 0</f>
        <v>0</v>
      </c>
      <c r="E25" s="34">
        <f>0 + 774687883.03 + 2164447199.83 + 859375498.55 + 139328147.89 + 393659.43 + 605197738 + 2165308069.06758 + 8507729.61</f>
        <v>6717245925.4075794</v>
      </c>
      <c r="F25" s="34">
        <f>0 + 723085283.28 + 5900069001.16 + 35596764 + 154644635.364464 + 186912216.97</f>
        <v>7000307900.7744637</v>
      </c>
      <c r="G25" s="34">
        <f>0 + 0 + 0 + 0 + 0 + 1518126298.5 + 12147493145.23 + 869229917.11 + 170726803.86 + 0 + 2441209.88 + 640794502 + 2520040888.26912 + 0 + 0 + 213103113.45</f>
        <v>18081955878.299122</v>
      </c>
      <c r="H25" s="25" t="b">
        <f t="shared" si="0"/>
        <v>1</v>
      </c>
    </row>
    <row r="26" spans="1:8">
      <c r="A26" s="16"/>
      <c r="B26" s="27"/>
      <c r="C26" s="27"/>
      <c r="D26" s="27"/>
      <c r="E26" s="27"/>
      <c r="F26" s="27"/>
      <c r="G26" s="27"/>
      <c r="H26" s="25"/>
    </row>
    <row r="27" spans="1:8" s="37" customFormat="1">
      <c r="A27" s="13" t="s">
        <v>18</v>
      </c>
      <c r="B27" s="28">
        <f>113337403.52 + 171379801.55 + -11164.75 + 17528003.678695 + 8494822.32 + 14086112</f>
        <v>324814978.31869501</v>
      </c>
      <c r="C27" s="28">
        <f>38947697.82 + 14296740.28 + -52.59 + 9418067.38604232 + 10203471.4</f>
        <v>72865924.296042323</v>
      </c>
      <c r="D27" s="28">
        <f>0</f>
        <v>0</v>
      </c>
      <c r="E27" s="28">
        <f>40381322.69 + 32373640.32 + -11979.54 + 7079111.42262697 + 4365585.73</f>
        <v>84187680.62262696</v>
      </c>
      <c r="F27" s="28">
        <f>58428468.36 + 4240600.34 + 1893.28 + 17031293.8827954</f>
        <v>79702255.862795413</v>
      </c>
      <c r="G27" s="30">
        <f>251094892.39 + 0 + 0 + 222290782.49 + 0 + 0 + 0 + 0 + -21303.6 + 0 + 0 + 0 + 0 + 51056476.3701597 + 8494822.32 + 28655169.13</f>
        <v>561570839.10015965</v>
      </c>
      <c r="H27" s="35" t="b">
        <f t="shared" si="0"/>
        <v>1</v>
      </c>
    </row>
    <row r="28" spans="1:8" s="37" customFormat="1">
      <c r="A28" s="13" t="s">
        <v>19</v>
      </c>
      <c r="B28" s="28">
        <f>0 + 311492482.637921 + 0 + 2499603994.56 + 0 + 0 + 0 + 1927009982.9 + 158208963.65 + 0 + 0 + 0 + 28112824.6121175 + 721725291.516668 + 0 + 0</f>
        <v>5646153539.8767071</v>
      </c>
      <c r="C28" s="28">
        <f>0 + 0 + 0 + 156241280.75 + 0 + 0 + 0 + 3919042817.73 + 987627057.45 + 0 + 0 + 0 + 55795761.7664865 + 887513846.966704 + 0 + 0</f>
        <v>6006220764.6631908</v>
      </c>
      <c r="D28" s="28">
        <f>0 + 0 + 0 + 0 + 0 + 0 + 0 + 1441030060.92 + 0 + 0 + 0 + 0 + 0 + 0 + 0 + 0</f>
        <v>1441030060.9200001</v>
      </c>
      <c r="E28" s="28">
        <f>0 + 0 + 0 + 438483214.72 + 0 + 0 + 0 + 8144921543.94 + 1427625767.7 + 0 + 0 + 0 + 46884044.0216344 + 787338358.860936 + 0 + 0</f>
        <v>10845252929.242571</v>
      </c>
      <c r="F28" s="28">
        <f>0 + 0 + 0 + 0 + 0 + 0 + 0 + 1299676999.2 + 531443343.33 + 0 + 0 + 0 + 49672226.7887846 + 2399499618.18503 + 0 + 0</f>
        <v>4280292187.5038147</v>
      </c>
      <c r="G28" s="30">
        <f>0 + 311492482.637921 + 0 + 3094328490.03 + 0 + 0 + 0 + 16731681404.69 + 3104905132.13 + 0 + 0 + 0 + 180464857.189023 + 4796077115.52933 + 0 + 0</f>
        <v>28218949482.206276</v>
      </c>
      <c r="H28" s="35" t="b">
        <f t="shared" si="0"/>
        <v>1</v>
      </c>
    </row>
    <row r="29" spans="1:8">
      <c r="A29" s="15" t="s">
        <v>20</v>
      </c>
      <c r="B29" s="34">
        <f>0 + 1535598152.43 + 25141409.54 + 28112824.6121175</f>
        <v>1588852386.5821176</v>
      </c>
      <c r="C29" s="34">
        <f>0 + 3656979209.84 + 9532246.29 + 55795761.7664865</f>
        <v>3722307217.8964868</v>
      </c>
      <c r="D29" s="34">
        <f>0 + 1424006603.69 + 0</f>
        <v>1424006603.6900001</v>
      </c>
      <c r="E29" s="34">
        <f>0 + 7370382681.47 + 44171480.93 + 46884044.0216344</f>
        <v>7461438206.4216347</v>
      </c>
      <c r="F29" s="34">
        <f>0 + 1284958410.13 + 704951.79 + 49672226.7887846 + 857766829.516003</f>
        <v>2193102418.2247877</v>
      </c>
      <c r="G29" s="34">
        <f>0 + 0 + 0 + 0 + 0 + 0 + 0 + 15271925057.56 + 79550088.55 + 0 + 0 + 0 + 180464857.189023 + 857766829.516003 + 0 + 0</f>
        <v>16389706832.815023</v>
      </c>
      <c r="H29" s="25" t="b">
        <f t="shared" si="0"/>
        <v>1</v>
      </c>
    </row>
    <row r="30" spans="1:8">
      <c r="A30" s="15" t="s">
        <v>21</v>
      </c>
      <c r="B30" s="34">
        <f>0 + 311492482.637921 + 2499603994.56 + 391411830.47 + 133067554.11 + 0 + 721725291.516668</f>
        <v>4057301153.294589</v>
      </c>
      <c r="C30" s="34">
        <f>0 + 156241280.75 + 262063607.89 + 978094811.16 + 0 + 887513846.966704</f>
        <v>2283913546.7667041</v>
      </c>
      <c r="D30" s="34">
        <f>0 + 0 + 17023457.23 + 0 + 0</f>
        <v>17023457.23</v>
      </c>
      <c r="E30" s="34">
        <f>0 + 438483214.72 + 774538862.47 + 1383454286.77 + 0 + 787338358.860936</f>
        <v>3383814722.8209362</v>
      </c>
      <c r="F30" s="34">
        <f>0 + 14718589.07 + 530738391.54 + 0 + 1541732788.66902</f>
        <v>2087189769.2790198</v>
      </c>
      <c r="G30" s="34">
        <f>0 + 311492482.637921 + 0 + 3094328490.03 + 0 + 0 + 0 + 1459756347.13 + 3025355043.58 + 0 + 0 + 0 + 0 + 3938310286.01333 + 0 + 0</f>
        <v>11829242649.391251</v>
      </c>
      <c r="H30" s="25" t="b">
        <f t="shared" si="0"/>
        <v>1</v>
      </c>
    </row>
    <row r="31" spans="1:8" s="37" customFormat="1">
      <c r="A31" s="17" t="s">
        <v>22</v>
      </c>
      <c r="B31" s="28">
        <f>42061217970.18 + 33624749721.8255 + 78793640226.2175 + 5749616030.97 + 6566055730.14 + 11263183306.39 + 6751314396.90083 + 48858052271.2635 + 45849742977.26 + 3321411760.66 + 15050952890.74 + 0 + 37593707242.01 + 9744787548.85149 + 1941729591.95 + 66924004014.99</f>
        <v>414094165680.34882</v>
      </c>
      <c r="C31" s="28">
        <f>27575223574.5707 + 5481363146.23072 + 42576661196.1853 + 428418173.31 + 12881563427.97 + 1981529520.99 + 8223519993.97 + 25233210082.79 + 27510991181.42 + 0 + 15150312308.93 + 0 + 24298418096.7049 + 4460953623.83716 + 297901747.29 + 11559891665.71</f>
        <v>207659957739.90875</v>
      </c>
      <c r="D31" s="28">
        <f>0 + 0 + 0 + 0 + 2566505230.62 + 0 + 0 + 6318673832.24 + 0 + 0 + 0 + 0 + 0 + 0 + 0 + 0</f>
        <v>8885179062.8600006</v>
      </c>
      <c r="E31" s="28">
        <f>37532032877.17 + 8734489587.8788 + 35883154706.309 + 1006840516.16 + 24744804877.65 + 5932542085.78 + 5615948568.99 + 60478957381.5131 + 34042405896.51 + 0 + 10282988076.31 + 605197738 + 50950454304.6391 + 5683808416.61113 + 0 + 16849670812.29</f>
        <v>298343295845.81116</v>
      </c>
      <c r="F31" s="28">
        <f>15956303767.0917 + 5105396499.97756 + 3978686500.82094 + 70359397.34 + 2011687872.5 + 1712364973.12 + 12732295317.8214 + 11510904791.6209 + 11891287927.13 + 0 + 3122367619.36272 + 35596764 + 38291596698.9586 + 3399429410.70021 + 0 + 1325996145.77</f>
        <v>111144273686.21402</v>
      </c>
      <c r="G31" s="30">
        <f>123124778189.012 + 52945998955.9125 + 161232142629.533 + 7255234117.78 + 48770617138.88 + 20889619886.28 + 33323078277.6822 + 152399798359.428 + 119294427982.32 + 3321411760.66 + 43606620895.3427 + 640794502 + 151134176342.313 + 23288979000 + 2239631339.24 + 96659562638.76</f>
        <v>1040126872015.1436</v>
      </c>
      <c r="H31" s="35" t="b">
        <f t="shared" si="0"/>
        <v>1</v>
      </c>
    </row>
    <row r="32" spans="1:8">
      <c r="A32" s="18"/>
      <c r="B32" s="27"/>
      <c r="C32" s="27"/>
      <c r="D32" s="27"/>
      <c r="E32" s="27"/>
      <c r="F32" s="27"/>
      <c r="G32" s="27"/>
      <c r="H32" s="25"/>
    </row>
    <row r="33" spans="1:9" s="37" customFormat="1">
      <c r="A33" s="19" t="s">
        <v>23</v>
      </c>
      <c r="B33" s="28">
        <f>4452436807.71 + 8794006416.71998 + 660765267.38</f>
        <v>13907208491.80998</v>
      </c>
      <c r="C33" s="28">
        <f>1993495812.55 + 3968869052.97001 + 535898776.99</f>
        <v>6498263642.5100098</v>
      </c>
      <c r="D33" s="30">
        <f>0 + 330511136.41 + 0</f>
        <v>330511136.41000003</v>
      </c>
      <c r="E33" s="30">
        <f>1822319545 + 10631030495.67 + 844289439.46</f>
        <v>13297639480.130001</v>
      </c>
      <c r="F33" s="30">
        <f>278767593.35 + 466764777.38 + 0</f>
        <v>745532370.73000002</v>
      </c>
      <c r="G33" s="30">
        <f>8547019758.61 + 0 + 0 + 0 + 0 + 0 + 0 + 24191181879.15 + 0 + 0 + 0 + 0 + 2040953483.83 + 0 + 0 + 0</f>
        <v>34779155121.590004</v>
      </c>
      <c r="H33" s="35" t="b">
        <f t="shared" si="0"/>
        <v>1</v>
      </c>
    </row>
    <row r="34" spans="1:9">
      <c r="A34" s="20"/>
      <c r="B34" s="29"/>
      <c r="C34" s="29"/>
      <c r="D34" s="29"/>
      <c r="E34" s="29"/>
      <c r="F34" s="29"/>
      <c r="G34" s="29"/>
      <c r="H34" s="25"/>
    </row>
    <row r="35" spans="1:9" s="37" customFormat="1">
      <c r="A35" s="19" t="s">
        <v>24</v>
      </c>
      <c r="B35" s="28">
        <f>70215 + 76011 + 111880 + 9385 + 5746 + 8079 + 14112 + 56461 + 48697 + 10284 + 7755 + 38559 + 15676 + 59864</f>
        <v>532724</v>
      </c>
      <c r="C35" s="28">
        <f>34575 + 11055 + 119249 + 463 + 20064 + 1569 + 41942 + 27399 + 40894 + 29258 + 19915 + 10687 + 10417</f>
        <v>367487</v>
      </c>
      <c r="D35" s="30">
        <f>0 + 0 + 0 + 9018 + 4418 + 0</f>
        <v>13436</v>
      </c>
      <c r="E35" s="30">
        <f>43123 + 11748 + 29946 + 383 + 9963 + 3170 + 14838 + 67619 + 31032 + 10408 + 648 + 71431 + 6109 + 20302</f>
        <v>320720</v>
      </c>
      <c r="F35" s="30">
        <f>11223 + 9065 + 5320 + 199 + 905 + 4405 + 44050 + 4942 + 6002 + 6645 + 298 + 0 + 2556 + 10486</f>
        <v>106096</v>
      </c>
      <c r="G35" s="30">
        <f>159136 + 107879 + 266395 + 10430 + 45696 + 17223 + 114942 + 160839 + 126625 + 10284 + 54066 + 946 + 129905 + 35028 + 0 + 101069</f>
        <v>1340463</v>
      </c>
      <c r="H35" s="35" t="b">
        <f t="shared" si="0"/>
        <v>1</v>
      </c>
    </row>
    <row r="36" spans="1:9">
      <c r="A36" s="20"/>
      <c r="B36" s="29"/>
      <c r="C36" s="29"/>
      <c r="D36" s="29"/>
      <c r="E36" s="29"/>
      <c r="F36" s="29"/>
      <c r="G36" s="29"/>
      <c r="H36" s="25"/>
    </row>
    <row r="37" spans="1:9" s="37" customFormat="1">
      <c r="A37" s="19" t="s">
        <v>25</v>
      </c>
      <c r="B37" s="28">
        <f>596019329.002435 + 2202520821.5286 + 0 + 750011345.114183 + 149323285.51</f>
        <v>3697874781.1552181</v>
      </c>
      <c r="C37" s="28">
        <f>138222062.52 + 1603711093.39 + 0 + 271247703.13462 + 276694281.18</f>
        <v>2289875140.2246199</v>
      </c>
      <c r="D37" s="30">
        <f>-10577068.22 + 0 + 0 + 0</f>
        <v>-10577068.220000001</v>
      </c>
      <c r="E37" s="30">
        <f>-70887174.4600311 + 1311560784.77 + 47819990.8 + 0 + 328371006.275225 + 414625325.93</f>
        <v>2031489933.3151939</v>
      </c>
      <c r="F37" s="30">
        <f>-271534286.27 + 69212877.11 + 338683.52 + 0 + -118190729.564029 + -50542444.21</f>
        <v>-370715899.41402894</v>
      </c>
      <c r="G37" s="30">
        <f>381242862.572404 + 5187005576.7986 + 0 + 0 + 0 + 0 + 0 + 0 + 0 + 0 + 48158674.32 + 0 + 1231439324.96 + 0 + 790100448.41</f>
        <v>7637946887.0610037</v>
      </c>
      <c r="H37" s="35" t="b">
        <f t="shared" si="0"/>
        <v>1</v>
      </c>
    </row>
    <row r="38" spans="1:9">
      <c r="A38" s="21"/>
      <c r="B38" s="29"/>
      <c r="C38" s="29"/>
      <c r="D38" s="29"/>
      <c r="E38" s="29"/>
      <c r="F38" s="29"/>
      <c r="G38" s="29"/>
      <c r="H38" s="25"/>
    </row>
    <row r="39" spans="1:9" ht="45.6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  <c r="H39" s="25"/>
    </row>
    <row r="40" spans="1:9">
      <c r="A40" s="11" t="s">
        <v>27</v>
      </c>
      <c r="B40" s="28">
        <f>1943716023.4269 + 2479108224.75244 + 4948238368.04086 + 1428952472.51 + 275526483.0372 + 509453465.45 + 620091347.86679 + 2760402062.12307 + 2354558446.92 + 472590699.88 + 1056000364.91 + 0 + 2684371282.57 + 1123837126.20492 + 118713110.32 + 3007622793.67</f>
        <v>25783182271.682182</v>
      </c>
      <c r="C40" s="28">
        <f>957697697.187476 + 254860429.25 + 2469628071.96 + 107122247.58 + 424971159.94 + 295250674.09 + 479206755.08 + 1864913799.49 + 1420306529.06 + 0 + 1374368481.97 + 0 + 1375184157.25 + 399861895.488973 + 9955149.8 + 630561115.94</f>
        <v>12063888164.086449</v>
      </c>
      <c r="D40" s="28">
        <f>0 + 191393.38 + 0 + 0 + 65364358.6899995 + 0 + 0 + 235866257.98 + 0 + 0 + 0 + 0 + 0 + 0 + 0 + 0</f>
        <v>301422010.04999948</v>
      </c>
      <c r="E40" s="28">
        <f>1418023156.55699 + 298237671.51997 + 2098909518.39 + 321806267.11 + 944058306.370001 + 419337369.41 + 342215836.729999 + 3003330719.96969 + 1589305318.86 + 0 + 789933276.01 + 60213793.43 + 2604813633.49028 + 450123319.313841 + 0 + 863166321.57</f>
        <v>15203474508.730772</v>
      </c>
      <c r="F40" s="28">
        <f>376799261.364666 + 432594444.61 + 138906524.11 + 15582167.83 + 58878718.83 + 37980518.24 + 1013021397.51212 + 694760514.409221 + 597512304.35 + 0 + 115947127.368592 + 510046.86 + 403688871.339724 + 93801108.4745327 + 0 + 12000.04</f>
        <v>3979995005.3388557</v>
      </c>
      <c r="G40" s="28">
        <f>4696236138.53603 + 3464992163.51241 + 9655682482.50086 + 1873463155.03 + 1768799026.8672 + 1262022027.19 + 2454535337.18891 + 8559273353.97198 + 5961682599.19 + 472590699.88 + 3336249250.25859 + 60723840.29 + 7068057944.65 + 2067623449.48226 + 128668260.12 + 4501362231.22</f>
        <v>57331961959.888245</v>
      </c>
      <c r="H40" s="25" t="b">
        <f t="shared" si="0"/>
        <v>1</v>
      </c>
    </row>
    <row r="41" spans="1:9">
      <c r="A41" s="22" t="s">
        <v>28</v>
      </c>
      <c r="B41" s="30">
        <f>1800940053.9869 + 2428780146.17244 + 4636246199.47086 + 1420514690.33 + 266681377.5572 + 504376279.01 + 596290613.09679 + 2669675113.60307 + 2177688447.16 + 455577360.24 + 1017372339.86 + 0 + 2302779980.15 + 1091816783.87277 + 67979257.95 + 2922632410.18</f>
        <v>24359351052.64003</v>
      </c>
      <c r="C41" s="30">
        <f>906462368.907476 + 238614990.04 + 2250574692.9 + 106154078.21 + 412465091.46 + 292025832.64 + 362548763.25 + 1815692958.05 + 1261462002.4 + 0 + 1265168718.56 + 0 + 1375184157.25 + 379304645.945497 + 1151692.72 + 598723854.99</f>
        <v>11265533847.322973</v>
      </c>
      <c r="D41" s="30">
        <f>0 + 191393.38 + 0 + 0 + 26475827.3399996 + 0 + 0 + 235866257.98 + 0 + 0 + 0 + 0 + 0 + 0 + 0 + 0</f>
        <v>262533478.6999996</v>
      </c>
      <c r="E41" s="30">
        <f>1418023156.55699 + 298237671.51997 + 2098909518.39 + 321806267.11 + 944058306.370001 + 419337369.41 + 342215836.729999 + 3003330719.96969 + 1589305318.86 + 0 + 789933276.01 + 60213793.43 + 2604813633.49028 + 450123319.313841 + 0 + 863166321.57</f>
        <v>15203474508.730772</v>
      </c>
      <c r="F41" s="30">
        <f>365071133.694666 + 431830562.58 + 120409321.46 + 14986972.65 + 57852443.08 + 37980518.24 + 772394062.562117 + 694074714.409221 + 582251210.37 + 0 + 107033021.618592 + 261300 + 403688871.339724 + 91928799.1044484 + 0 + 12000.04</f>
        <v>3679774931.1487684</v>
      </c>
      <c r="G41" s="30">
        <f>4490496713.14603 + 3397654763.69241 + 9106139732.22086 + 1863462008.3 + 1707533045.8072 + 1253719999.3 + 2073449275.63891 + 8418639764.01198 + 5610706978.79 + 455577360.24 + 3179507356.04859 + 60475093.43 + 6686466642.23 + 2013173548.23656 + 69130950.67 + 4384534586.78</f>
        <v>54770667818.542526</v>
      </c>
      <c r="H41" s="25" t="b">
        <f t="shared" si="0"/>
        <v>1</v>
      </c>
    </row>
    <row r="42" spans="1:9">
      <c r="A42" s="12" t="s">
        <v>8</v>
      </c>
      <c r="B42" s="29">
        <f>0 + 444568697.701742 + 1194617640.99686 + 229884041.62 + 600234026.110962 + 1877927205.94</f>
        <v>4347231612.3695641</v>
      </c>
      <c r="C42" s="29">
        <f>0 + 260401489.204054 + 737190795.55 + 449560788.674885 + 299862011.59</f>
        <v>1747015085.0189388</v>
      </c>
      <c r="D42" s="29">
        <f>0 + 122326201.92 + 0</f>
        <v>122326201.92</v>
      </c>
      <c r="E42" s="29">
        <f>0 + 269085845.63787 + 1254642352.1 + 1134850811.55475 + 397650875.52</f>
        <v>3056229884.8126197</v>
      </c>
      <c r="F42" s="29">
        <f>0 + 421311681.644747 + 70985317.234283 + 120730561.789665</f>
        <v>613027560.66869497</v>
      </c>
      <c r="G42" s="29">
        <f>0 + 0 + 0 + 0 + 0 + 0 + 1395367714.18841 + 3379762307.80115 + 0 + 229884041.62 + 0 + 0 + 2305376188.13026 + 0 + 0 + 2575440093.05</f>
        <v>9885830344.7898216</v>
      </c>
      <c r="H42" s="25" t="b">
        <f t="shared" si="0"/>
        <v>1</v>
      </c>
      <c r="I42" s="26"/>
    </row>
    <row r="43" spans="1:9">
      <c r="A43" s="12" t="s">
        <v>9</v>
      </c>
      <c r="B43" s="29">
        <f>193681545.293095 + 1975954548.37565 + 1248880539.09 + 145188464.49 + 4332327.22929494 + 610765401.43</f>
        <v>4178802825.9080396</v>
      </c>
      <c r="C43" s="29">
        <f>8957809.54 + 151052117.22 + 103094402.45 + 5083665.89382851 + 148348522.76</f>
        <v>416536517.86382848</v>
      </c>
      <c r="D43" s="29">
        <f>0 + 0</f>
        <v>0</v>
      </c>
      <c r="E43" s="29">
        <f>52705582.5917038 + 178865346.03 + 321626592.82 + 30564335.8945565 + 236332583.69</f>
        <v>820094441.02626038</v>
      </c>
      <c r="F43" s="29">
        <f>11611292.41 + 414690831.85 + 14960740.35 + 2293417.81583256</f>
        <v>443556282.42583263</v>
      </c>
      <c r="G43" s="29">
        <f>266956229.834799 + 2720562843.47565 + 0 + 1688562274.71 + 0 + 0 + 0 + 0 + 0 + 145188464.49 + 0 + 0 + 42273746.8335126 + 0 + 0 + 995446507.88</f>
        <v>5858990067.2239609</v>
      </c>
      <c r="H43" s="25" t="b">
        <f t="shared" si="0"/>
        <v>1</v>
      </c>
    </row>
    <row r="44" spans="1:9">
      <c r="A44" s="12" t="s">
        <v>10</v>
      </c>
      <c r="B44" s="29">
        <f>189114 + 256026964.360031 + 223562243.242618 + 67979257.95</f>
        <v>547757579.55264902</v>
      </c>
      <c r="C44" s="29">
        <f>0 + 33618629.73 + 178514879.73365 + 1151692.72</f>
        <v>213285202.18364999</v>
      </c>
      <c r="D44" s="29">
        <f>0 + 191393.38 + 0</f>
        <v>191393.38</v>
      </c>
      <c r="E44" s="29">
        <f>294182 + 64813985.0199699 + 154835265.752979</f>
        <v>219943432.77294892</v>
      </c>
      <c r="F44" s="29">
        <f>0 + 2884694.1 + 37156297.9250319</f>
        <v>40040992.025031902</v>
      </c>
      <c r="G44" s="29">
        <f>483296 + 357535666.59 + 0 + 0 + 0 + 0 + 0 + 0 + 0 + 0 + 0 + 0 + 594068686.654279 + 0 + 69130950.67 + 0</f>
        <v>1021218599.9142789</v>
      </c>
      <c r="H44" s="25" t="b">
        <f t="shared" si="0"/>
        <v>1</v>
      </c>
    </row>
    <row r="45" spans="1:9">
      <c r="A45" s="12" t="s">
        <v>11</v>
      </c>
      <c r="B45" s="29">
        <f>1607069394.6938 + 156652573.39134 + 4082160031.63991 + 162437123.54 + 264414225.29955 + 504376279.01 + 151721915.395048 + 1216941157.8462 + 2136111811.16 + 80504854.13 + 769765721.693002 + 1474649629.37033 + 969801634.778528 + 433939802.81</f>
        <v>14010546154.75771</v>
      </c>
      <c r="C45" s="29">
        <f>897504559.367476 + 49923600.4 + 1720504375.45 + 1485551.88 + 387917368.1 + 292025832.64 + 102147274.045947 + 871623204.140001 + 1217985537.59 + 996244983.251544 + 742024822.947637 + 363799308.048146 + 150513320.64</f>
        <v>7793699738.5007515</v>
      </c>
      <c r="D45" s="29">
        <f>0 + 0 + 0 + 1341854.29 + 79581000.01 + 0</f>
        <v>80922854.300000012</v>
      </c>
      <c r="E45" s="29">
        <f>1365023391.96529 + 54436666.75 + 1756290724.15 + 25574.32 + 938625281.390001 + 419337369.41 + 73129991.0921286 + 1555901635.05969 + 1579485299.58 + 696215718.620992 + 60213793.43 + 1284521158.97299 + 443792783.327884 + 229182862.36</f>
        <v>10456182250.428978</v>
      </c>
      <c r="F45" s="29">
        <f>353459841.284666 + 8833906.18 + 100559463.11 + 26232.3 + 55070198.91 + 37980518.24 + 312339018.059776 + 602189684.87379 + 258486339.34 + 96964995.3061936 + 261300 + 243507755.511313 + 62462322.0238092 + 12000.04</f>
        <v>2132153575.1795478</v>
      </c>
      <c r="G45" s="29">
        <f>4223057187.31123 + 269846746.72134 + 7659514594.34991 + 163974482.04 + 1647368927.98955 + 1253719999.3 + 639338198.592899 + 4326236681.92968 + 5192068987.67 + 80504854.13 + 2559191418.87173 + 60475093.43 + 3744703366.80227 + 1839856048.17837 + 0 + 813647985.85</f>
        <v>34473504573.166985</v>
      </c>
      <c r="H45" s="25" t="b">
        <f t="shared" si="0"/>
        <v>1</v>
      </c>
    </row>
    <row r="46" spans="1:9">
      <c r="A46" s="12" t="s">
        <v>12</v>
      </c>
      <c r="B46" s="29">
        <f>0 + 40146060.04542 + 554086167.830951 + 9197027.7 + 2267152.25765 + 0 + 258116314.76 + 41576636 + 247606618.166998 + 1754.19679357345 + 110018482.538934</f>
        <v>1263016213.4967465</v>
      </c>
      <c r="C46" s="29">
        <f>0 + 4020642.69 + 530070317.45 + 1574123.88 + 24547723.36 + 0 + 206878958.36 + 43476464.81 + 268923735.308456 + 0 + 15505337.897351</f>
        <v>1094997303.7558069</v>
      </c>
      <c r="D46" s="29">
        <f>0 + 0 + 0 + 25133973.0499996 + 33959056.05 + 0 + 0</f>
        <v>59093029.099999592</v>
      </c>
      <c r="E46" s="29">
        <f>0 + 121673.72 + 342618794.24 + 154099.97 + 5433024.98 + 0 + 192786732.81 + 9820019.28 + 93717557.3890081 + 42061.3149973097 + 6330535.98595706</f>
        <v>651024499.68996239</v>
      </c>
      <c r="F46" s="29">
        <f>0 + 5421130.45 + 19849858.35 + 2782244.17 + 38743362.8575941 + 20899712.301148 + 323764871.03 + 10068026.3123984 + 838.297881416481 + 29466477.0806392</f>
        <v>450996520.84966105</v>
      </c>
      <c r="G46" s="29">
        <f>0 + 49709506.90542 + 1446625137.87095 + 10925251.55 + 60164117.8176496 + 0 + 38743362.8575941 + 712640774.281148 + 418637991.12 + 0 + 620315937.17686 + 0 + 44653.8096722996 + 161320833.502881 + 0 + 0</f>
        <v>3519127566.8921747</v>
      </c>
      <c r="H46" s="25" t="b">
        <f t="shared" si="0"/>
        <v>1</v>
      </c>
    </row>
    <row r="47" spans="1:9">
      <c r="A47" s="12" t="s">
        <v>13</v>
      </c>
      <c r="B47" s="29">
        <f>0 + 0 + 11996666.5553096</f>
        <v>11996666.555309599</v>
      </c>
      <c r="C47" s="29">
        <f>0 + 0</f>
        <v>0</v>
      </c>
      <c r="D47" s="29">
        <f>0 + 0</f>
        <v>0</v>
      </c>
      <c r="E47" s="29">
        <f>0 + 0</f>
        <v>0</v>
      </c>
      <c r="F47" s="29">
        <f>0 + 0</f>
        <v>0</v>
      </c>
      <c r="G47" s="29">
        <f>0 + 0 + 0 + 0 + 0 + 0 + 0 + 0 + 0 + 0 + 0 + 0 + 0 + 11996666.5553096 + 0 + 0</f>
        <v>11996666.555309599</v>
      </c>
      <c r="H47" s="25" t="b">
        <f t="shared" si="0"/>
        <v>1</v>
      </c>
    </row>
    <row r="48" spans="1:9">
      <c r="A48" s="22" t="s">
        <v>29</v>
      </c>
      <c r="B48" s="30">
        <f>142775969.44 + 50328078.5800004 + 311992168.57 + 8437782.18 + 8845105.47999999 + 5077186.44 + 23800734.77 + 90726948.52 + 176869999.76 + 17013339.64 + 38628025.05 + 0 + 381591302.42 + 32020342.3321465 + 50733852.37 + 84990383.4900006</f>
        <v>1423831219.0421472</v>
      </c>
      <c r="C48" s="30">
        <f>51235328.28 + 16245439.21 + 219053379.06 + 968169.37 + 12506068.48 + 3224841.45 + 116657991.83 + 49220841.4399999 + 158844526.66 + 0 + 109199763.41 + 0 + 0 + 20557249.5434757 + 8803457.08 + 31837260.95</f>
        <v>798354316.76347566</v>
      </c>
      <c r="D48" s="30">
        <f>0 + 0 + 0 + 0 + 38888531.3499998 + 0 + 0 + 0 + 0 + 0 + 0 + 0 + 0 + 0 + 0 + 0</f>
        <v>38888531.3499998</v>
      </c>
      <c r="E48" s="30">
        <f>0 + 0 + 0 + 0 + 0 + 0 + 0 + 0 + 0 + 0 + 0 + 0 + 0 + 0 + 0 + 0</f>
        <v>0</v>
      </c>
      <c r="F48" s="30">
        <f>11728127.67 + 763882.03 + 18497202.65 + 595195.18 + 1026275.75 + 0 + 240627334.95 + 685800 + 15261093.98 + 0 + 8914105.75 + 248746.86 + 0 + 1872309.37008431 + 0 + 0</f>
        <v>300220074.19008428</v>
      </c>
      <c r="G48" s="30">
        <f>205739425.39 + 67337399.8200004 + 549542750.279999 + 10001146.73 + 61265981.0599998 + 8302027.89 + 381086061.55 + 140633589.96 + 350975620.4 + 17013339.64 + 156741894.21 + 248746.86 + 381591302.42 + 54449901.2457065 + 59537309.45 + 116827644.440001</f>
        <v>2561294141.3457069</v>
      </c>
      <c r="H48" s="25" t="b">
        <f t="shared" si="0"/>
        <v>1</v>
      </c>
    </row>
    <row r="49" spans="1:8">
      <c r="A49" s="12" t="s">
        <v>8</v>
      </c>
      <c r="B49" s="29">
        <f>0 + 17744806.6909716 + 39423441.8099999 + 12015770.57 + 99464163.2091845 + 31756795.8000001</f>
        <v>200404978.08015609</v>
      </c>
      <c r="C49" s="29">
        <f>0 + 83789872.9201809 + 15249437.61 + 0 + 11682648.3</f>
        <v>110721958.8301809</v>
      </c>
      <c r="D49" s="29">
        <f>0 + 0</f>
        <v>0</v>
      </c>
      <c r="E49" s="29">
        <f>0 + 0 + 0</f>
        <v>0</v>
      </c>
      <c r="F49" s="29">
        <f>0 + 131253089.648556 + 150000 + 0</f>
        <v>131403089.64855599</v>
      </c>
      <c r="G49" s="29">
        <f>0 + 0 + 0 + 0 + 0 + 0 + 232787769.259709 + 54822879.4199999 + 0 + 12015770.57 + 0 + 0 + 99464163.2091845 + 0 + 0 + 43439444.1000001</f>
        <v>442530026.5588935</v>
      </c>
      <c r="H49" s="25" t="b">
        <f t="shared" si="0"/>
        <v>1</v>
      </c>
    </row>
    <row r="50" spans="1:8">
      <c r="A50" s="12" t="s">
        <v>9</v>
      </c>
      <c r="B50" s="29">
        <f>22606024.42 + 30994344.1100004 + 8203569.5 + 532037.62 + 717905.489967219 + 26973925.9500003</f>
        <v>90027807.089967921</v>
      </c>
      <c r="C50" s="29">
        <f>649295 + 3377576.36999999 + 920562.87 + 0 + 6233284.54999998</f>
        <v>11180718.789999969</v>
      </c>
      <c r="D50" s="29">
        <f>0 + 0 + 0</f>
        <v>0</v>
      </c>
      <c r="E50" s="29">
        <f>0 + 0 + 0</f>
        <v>0</v>
      </c>
      <c r="F50" s="29">
        <f>124448.62 + 525910.4 + 561921.5 + 0</f>
        <v>1212280.52</v>
      </c>
      <c r="G50" s="29">
        <f>23379768.04 + 34897830.8800004 + 0 + 9686053.87 + 0 + 0 + 0 + 0 + 0 + 532037.62 + 0 + 0 + 717905.489967219 + 0 + 0 + 33207210.5000003</f>
        <v>102420806.39996791</v>
      </c>
      <c r="H50" s="25" t="b">
        <f t="shared" si="0"/>
        <v>1</v>
      </c>
    </row>
    <row r="51" spans="1:8">
      <c r="A51" s="12" t="s">
        <v>10</v>
      </c>
      <c r="B51" s="29">
        <f>19972114 + 37046269.4248934 + 50733852.37</f>
        <v>107752235.7948934</v>
      </c>
      <c r="C51" s="29">
        <f>0 + 0 + 8803457.08</f>
        <v>8803457.0800000001</v>
      </c>
      <c r="D51" s="29">
        <f>0 + 0</f>
        <v>0</v>
      </c>
      <c r="E51" s="29">
        <f>0 + 0</f>
        <v>0</v>
      </c>
      <c r="F51" s="29">
        <f>0 + 0</f>
        <v>0</v>
      </c>
      <c r="G51" s="29">
        <f>19972114 + 0 + 0 + 0 + 0 + 0 + 0 + 0 + 0 + 0 + 0 + 0 + 37046269.4248934 + 0 + 59537309.45 + 0</f>
        <v>116555692.8748934</v>
      </c>
      <c r="H51" s="25" t="b">
        <f t="shared" si="0"/>
        <v>1</v>
      </c>
    </row>
    <row r="52" spans="1:8">
      <c r="A52" s="12" t="s">
        <v>11</v>
      </c>
      <c r="B52" s="29">
        <f>100197831.02 + 17481491.86 + 283495033.38 + 61169.18 + 8558059.47999999 + 5077186.44 + 6055928.07902842 + 44110721.3800001 + 173827404.85 + 4465531.45 + 29226791.8196797 + 244362673.609808 + 23418836.0749829 + 26259661.7400002</f>
        <v>966598320.3634994</v>
      </c>
      <c r="C52" s="29">
        <f>50586033.28 + 12322139.2 + 170056266.76 + 37723.6 + 12036204.82 + 3224841.45 + 32868118.9098189 + 29848499.1899999 + 154478058.06 + 87210085.015316 + 0 + 19321324.7877368 + 13921328.1</f>
        <v>585910623.17287159</v>
      </c>
      <c r="D52" s="29">
        <f>0 + 0 + 0 + 13852115.4899999 + 0</f>
        <v>13852115.4899999</v>
      </c>
      <c r="E52" s="29">
        <f>0 + 0 + 0 + 0 + 0 + 0 + 0 + 0</f>
        <v>0</v>
      </c>
      <c r="F52" s="29">
        <f>11603679.05 + 229568.18 + 16965555.29 + 30823.3 + 965075.749999999 + 97304354.2920547 + 525000 + 15081200.02 + 8075603.2964085 + 248746.86 + 0 + 1791900.14079214</f>
        <v>152821506.17925537</v>
      </c>
      <c r="G52" s="29">
        <f>162387543.35 + 30033199.24 + 470516855.43 + 129716.08 + 35411455.5399999 + 8302027.89 + 136228401.280902 + 74484220.57 + 343386662.93 + 4465531.45 + 124512480.131404 + 248746.86 + 244362673.609808 + 44532061.0035118 + 0 + 40180989.8400002</f>
        <v>1719182565.2056258</v>
      </c>
      <c r="H52" s="25" t="b">
        <f t="shared" si="0"/>
        <v>1</v>
      </c>
    </row>
    <row r="53" spans="1:8">
      <c r="A53" s="12" t="s">
        <v>12</v>
      </c>
      <c r="B53" s="29">
        <f>0 + 1852242.61 + 28497135.19 + 173043.5 + 287046 + 0 + 7192785.33 + 3042594.91 + 9401233.23032034 + 290.686146714319 + 8601506.25716357</f>
        <v>59047877.713630632</v>
      </c>
      <c r="C53" s="29">
        <f>0 + 545723.640000002 + 48997112.3 + 9882.9 + 469863.66 + 0 + 4122904.64 + 4366468.6 + 21989678.394684 + 0 + 1235924.75573892</f>
        <v>81737558.89042291</v>
      </c>
      <c r="D53" s="29">
        <f>0 + 0 + 0 + 25036415.8599999 + 0</f>
        <v>25036415.859999899</v>
      </c>
      <c r="E53" s="29">
        <f>0 + 0 + 0 + 0 + 0 + 0 + 0</f>
        <v>0</v>
      </c>
      <c r="F53" s="29">
        <f>0 + 8403.45 + 1531647.36 + 2450.38 + 61200 + 12069891.0093887 + 10800 + 179893.96 + 838502.453591502 + 0 + 80409.2292921708</f>
        <v>14783197.842272373</v>
      </c>
      <c r="G53" s="29">
        <f>0 + 2406369.7 + 79025894.8499999 + 185376.78 + 25854525.5199999 + 0 + 12069891.0093887 + 11326489.97 + 7588957.47 + 0 + 32229414.0785959 + 0 + 290.686146714319 + 9917840.24219466 + 0 + 0</f>
        <v>180605050.30632579</v>
      </c>
      <c r="H53" s="25" t="b">
        <f t="shared" si="0"/>
        <v>1</v>
      </c>
    </row>
    <row r="54" spans="1:8">
      <c r="A54" s="12" t="s">
        <v>13</v>
      </c>
      <c r="B54" s="29">
        <f>0 + 0</f>
        <v>0</v>
      </c>
      <c r="C54" s="29">
        <f>0 + 0</f>
        <v>0</v>
      </c>
      <c r="D54" s="29">
        <f>0 + 0</f>
        <v>0</v>
      </c>
      <c r="E54" s="29">
        <f>0 + 0</f>
        <v>0</v>
      </c>
      <c r="F54" s="29">
        <f>0 + 0</f>
        <v>0</v>
      </c>
      <c r="G54" s="29">
        <f>0 + 0 + 0 + 0 + 0 + 0 + 0 + 0 + 0 + 0 + 0 + 0 + 0 + 0 + 0 + 0</f>
        <v>0</v>
      </c>
      <c r="H54" s="25" t="b">
        <f t="shared" si="0"/>
        <v>1</v>
      </c>
    </row>
    <row r="55" spans="1:8">
      <c r="A55" s="12"/>
      <c r="B55" s="29"/>
      <c r="C55" s="29"/>
      <c r="D55" s="29"/>
      <c r="E55" s="29"/>
      <c r="F55" s="29"/>
      <c r="G55" s="29"/>
      <c r="H55" s="25"/>
    </row>
    <row r="56" spans="1:8">
      <c r="A56" s="13" t="s">
        <v>30</v>
      </c>
      <c r="B56" s="30">
        <f>2568096564.9233 + 1883088895.75 + 2745717546.51226 + 304050039.18 + 191456871.42686 + 474471535.07 + 502699636.242901 + 1629883896.03807 + 1484653773.41 + 228446002.54 + 618892243.300001 + 0 + 1909228167.79 + 373825781.090735 + 150328880.59 + 2858299508.16</f>
        <v>17923139342.024132</v>
      </c>
      <c r="C56" s="30">
        <f>695975902.237135 + 116638366.73 + 865916978.57 + 881000.01 + 382649342.9 + 13576410.83 + 259804591.21 + 1041451704.31 + 200557147.55 + 0 + 1181690735.46 + 0 + 1100537965.98 + 128614192.354353 + 5385919 + 353866834.76</f>
        <v>6347547091.9014874</v>
      </c>
      <c r="D56" s="30">
        <f>0 + 10768461.6 + 0 + 0 + 153585173.86 + 0 + 0 + 187528671.5 + 0 + 0 + 0 + 0 + 0 + 0 + 0 + 0</f>
        <v>351882306.96000004</v>
      </c>
      <c r="E56" s="30">
        <f>1245701521.86952 + 369124845.980001 + 787348733.62 + 12923330.1 + 482791600.77 + 97674620.03 + 168274114.39 + 1195281769.88002 + 627840591.87 + 0 + 539196948.64 + 12393802.63 + 1403109508.07959 + 121752313.038616 + 0 + 448540995.64</f>
        <v>7511954696.5377474</v>
      </c>
      <c r="F56" s="30">
        <f>431305771.509426 + 704128730.88 + 69693647 + 497006.8 + 37670465.92 + 45354283.65 + 531580425.605329 + 79503377.861019 + 281136745.7 + 0 + 85794600.58344 + 171363.34 + 1524463623.50041 + 211991838.038561 + 0 + 50554444.25</f>
        <v>4053846324.638185</v>
      </c>
      <c r="G56" s="30">
        <f>4941079760.53937 + 3083749300.94 + 4468676905.70226 + 318351376.09 + 1248153454.87686 + 631076849.58 + 1462358767.44823 + 4133649419.5891 + 2594188258.53 + 228446002.54 + 2425574527.98344 + 12565165.97 + 5937339265.35 + 836184124.522265 + 155714799.59 + 3711261782.81</f>
        <v>36188369762.061523</v>
      </c>
      <c r="H56" s="25" t="b">
        <f t="shared" si="0"/>
        <v>1</v>
      </c>
    </row>
    <row r="57" spans="1:8">
      <c r="A57" s="15" t="s">
        <v>31</v>
      </c>
      <c r="B57" s="29">
        <f>227292652.165587 + 140990289.3 + 229244215.85 + 16661878.75 + 33087891.6 + 50332843.56 + 0 + 263626795.730001 + 201348029.52 + 27732293.52 + 65602225.38 + 437435922.313364 + 38824453.4455317 + 5599481.07 + 141148854.56</f>
        <v>1878927826.7644837</v>
      </c>
      <c r="C57" s="29">
        <f>922.771944166111 + 0 + 0 + 0 + 0 + 3976134.61046502 + 146419.828930008</f>
        <v>4123477.2113391943</v>
      </c>
      <c r="D57" s="29">
        <f>0 + 0 + 0 + 0 + 0</f>
        <v>0</v>
      </c>
      <c r="E57" s="29">
        <f>599583993.43674 + 156606178.570001 + 457025744.22 + 12903416.92 + 358935277.17 + 62702163 + 151446702.951 + 971555315.480006 + 509331395.93 + 142012303.06 + 9410506.18 + 844894553.649316 + 83087221.3971315 + 279857909.63</f>
        <v>4639352681.5941944</v>
      </c>
      <c r="F57" s="29">
        <f>16108662.7948511 + 30543509.54 + 3661335.4 + 132895106.401332 + 2792444.58 + 7795107.11 + 1985381.62 + 0 + 359785269.876739 + 4257608.98844906 + 5280144.98</f>
        <v>565104571.29137135</v>
      </c>
      <c r="G57" s="29">
        <f>842986231.169122 + 328139977.410001 + 686269960.07 + 29565295.67 + 395684504.17 + 113035006.56 + 284341809.352332 + 1237974555.79001 + 718474532.56 + 27732293.52 + 209599910.06 + 9410506.18 + 1646091880.44988 + 126315703.660042 + 5599481.07 + 426286909.17</f>
        <v>7087508556.8613873</v>
      </c>
      <c r="H57" s="25" t="b">
        <f t="shared" si="0"/>
        <v>1</v>
      </c>
    </row>
    <row r="58" spans="1:8">
      <c r="A58" s="22" t="s">
        <v>28</v>
      </c>
      <c r="B58" s="30">
        <f>2340803912.75771 + 1742098606.45 + 2516473330.66226 + 287388160.43 + 158368979.82686 + 424138691.51 + 502699636.242901 + 1366257100.30807 + 1283305743.89 + 200713709.02 + 553290017.920001 + 0 + 1471792245.47664 + 335001327.645204 + 144729399.52 + 2717150653.6</f>
        <v>16044211515.259649</v>
      </c>
      <c r="C58" s="30">
        <f>695974979.465191 + 116638366.73 + 865916978.57 + 881000.01 + 382649342.9 + 13576410.83 + 259804591.21 + 1041451704.31 + 200557147.55 + 0 + 1181690735.46 + 0 + 1096561831.36954 + 128467772.525423 + 5385919 + 353866834.76</f>
        <v>6343423614.6901541</v>
      </c>
      <c r="D58" s="30">
        <f>0 + 10768461.6 + 0 + 0 + 153585173.86 + 0 + 0 + 187528671.5 + 0 + 0 + 0 + 0 + 0 + 0 + 0 + 0</f>
        <v>351882306.96000004</v>
      </c>
      <c r="E58" s="30">
        <f>646117528.432776 + 212518667.41 + 330322989.4 + 19913.18 + 123856323.6 + 34972457.03 + 16827411.439 + 223726454.400012 + 118509195.94 + 0 + 397184645.58 + 2983296.45 + 558214954.430273 + 38665091.6414843 + 0 + 168683086.01</f>
        <v>2872602014.9435453</v>
      </c>
      <c r="F58" s="30">
        <f>415197108.714575 + 673585221.34 + 69693647 + 497006.8 + 34009130.52 + 45354283.65 + 398685319.203997 + 76710933.281019 + 273341638.59 + 0 + 83809218.96344 + 171363.34 + 1164678353.62367 + 207734229.050112 + 0 + 45274299.27</f>
        <v>3488741753.3468127</v>
      </c>
      <c r="G58" s="30">
        <f>4098093529.37025 + 2755609323.53 + 3782406945.63226 + 288786080.42 + 852468950.70686 + 518041843.02 + 1178016958.0959 + 2895674863.7991 + 1875713725.97 + 200713709.02 + 2215974617.92344 + 3154659.79 + 4291247384.90012 + 709868420.862223 + 150115318.52 + 3284974873.64</f>
        <v>29100861205.200157</v>
      </c>
      <c r="H58" s="25" t="b">
        <f t="shared" si="0"/>
        <v>1</v>
      </c>
    </row>
    <row r="59" spans="1:8">
      <c r="A59" s="12" t="s">
        <v>8</v>
      </c>
      <c r="B59" s="29">
        <f>0 + 171109923.25599 + 480925876.729999 + 101647471.1 + 367657300.881201 + 1632431495.35</f>
        <v>2753772067.3171902</v>
      </c>
      <c r="C59" s="29">
        <f>0 + 88432814.4650108 + 435279530.74 + 334396908.688821 + 153804411.45</f>
        <v>1011913665.3438318</v>
      </c>
      <c r="D59" s="29">
        <f>0 + 97251415.71 + 0</f>
        <v>97251415.709999993</v>
      </c>
      <c r="E59" s="29">
        <f>0 + 5727748.48504759 + 44007152.8400064 + 157483876.387549 + 42894880.96</f>
        <v>250113658.67260301</v>
      </c>
      <c r="F59" s="29">
        <f>0 + 135705318.750863 + 2630396.838783 + 311613734.385065 + 2155722.72</f>
        <v>452105172.69471103</v>
      </c>
      <c r="G59" s="29">
        <f>0 + 0 + 0 + 0 + 0 + 0 + 400975804.956911 + 1060094372.85879 + 0 + 101647471.1 + 0 + 0 + 1171151820.34264 + 0 + 0 + 1831286510.48</f>
        <v>4565155979.7383404</v>
      </c>
      <c r="H59" s="25" t="b">
        <f t="shared" si="0"/>
        <v>1</v>
      </c>
    </row>
    <row r="60" spans="1:8">
      <c r="A60" s="12" t="s">
        <v>9</v>
      </c>
      <c r="B60" s="29">
        <f>381423658.609423 + 1321668129.18 + 280537468.37 + 61877458.85 + 10544051.4706376 + 724606825.02</f>
        <v>2780657591.5000601</v>
      </c>
      <c r="C60" s="29">
        <f>29631976.5062293 + 52241350.1 + 881000.01 + 379701.767094137 + 71080940.26</f>
        <v>154214968.64332345</v>
      </c>
      <c r="D60" s="29">
        <f>19873.31 + 0</f>
        <v>19873.310000000001</v>
      </c>
      <c r="E60" s="29">
        <f>15107971.6174239 + 29918929.19 + 19913.18 + 8757.17675506102 + 47795375.37</f>
        <v>92850946.534178972</v>
      </c>
      <c r="F60" s="29">
        <f>65382271.1339729 + 576836783.54 + 497006.8 + 4601232.87919187 + 14559594.01</f>
        <v>661876888.36316466</v>
      </c>
      <c r="G60" s="29">
        <f>491545877.867049 + 1980685065.32 + 0 + 281935388.36 + 0 + 0 + 0 + 0 + 0 + 61877458.85 + 0 + 0 + 15533743.2936787 + 0 + 0 + 858042734.66</f>
        <v>3689620268.3507276</v>
      </c>
      <c r="H60" s="25" t="b">
        <f t="shared" si="0"/>
        <v>1</v>
      </c>
    </row>
    <row r="61" spans="1:8">
      <c r="A61" s="12" t="s">
        <v>10</v>
      </c>
      <c r="B61" s="29">
        <f>1085427 + 120026674.35854 + 144729399.52</f>
        <v>265841500.87854001</v>
      </c>
      <c r="C61" s="29">
        <f>-0.0007253 + 82699091.7999692 + 5385919</f>
        <v>88085010.799243897</v>
      </c>
      <c r="D61" s="29">
        <f>0</f>
        <v>0</v>
      </c>
      <c r="E61" s="29">
        <f>3153432.99940175 + 15473932.0355472</f>
        <v>18627365.034948952</v>
      </c>
      <c r="F61" s="29">
        <f>0 + 81589119.7638704</f>
        <v>81589119.763870403</v>
      </c>
      <c r="G61" s="29">
        <f>4238859.99867645 + 0 + 0 + 0 + 0 + 0 + 0 + 0 + 0 + 0 + 0 + 0 + 299788817.957926 + 0 + 150115318.52 + 0</f>
        <v>454142996.47660244</v>
      </c>
      <c r="H61" s="25" t="b">
        <f t="shared" si="0"/>
        <v>1</v>
      </c>
    </row>
    <row r="62" spans="1:8">
      <c r="A62" s="12" t="s">
        <v>11</v>
      </c>
      <c r="B62" s="29">
        <f>1958294827.14829 + 394282093.55 + 2125420494.92165 + 6678405.58 + 157979127.39767 + 424138691.51 + 317780424.621199 + 796469257.648067 + 1250862522.06 + 37188779.07 + 418631088.405973 + 973564218.766258 + 250991285.365304 + 360112333.23</f>
        <v>9472393549.2744102</v>
      </c>
      <c r="C62" s="29">
        <f>666343002.959687 + 62592932.8 + 638047802.01 + 333510205.96 + 13576410.83 + 164234877.76975 + 494076641.76 + 198055247.4 + 930120908.050773 + 679086129.11365 + 118639627.369994 + 128981483.05</f>
        <v>4427265269.0738535</v>
      </c>
      <c r="D62" s="29">
        <f>10748588.29 + 0 + 67357832.32 + 77849662.61 + 0 + 0</f>
        <v>155956083.21999997</v>
      </c>
      <c r="E62" s="29">
        <f>627856123.81595 + 182533419.07 + 257533111.77 + 122692415.16 + 34972457.03 + 10637409.6315781 + 135445700.770006 + 118418646.72 + 350062722.821925 + 2983296.45 + 385248388.830422 + 35403642.1740804 + 77992829.68</f>
        <v>2341780163.9239616</v>
      </c>
      <c r="F62" s="29">
        <f>349814837.580602 + 87562090.12 + 61107117.66 + 31127061.1 + 45354283.65 + 252028012.142158 + 65035851.025038 + 169986076.55 + 75925732.0826127 + 171363.34 + 766874266.595544 + 180488394.946382 + 28558982.54</f>
        <v>2114034069.3323369</v>
      </c>
      <c r="G62" s="29">
        <f>3602308791.50452 + 737719123.83 + 3082108526.36165 + 6678405.58 + 712666641.93767 + 518041843.02 + 744680724.164686 + 1568877113.81311 + 1737322492.73 + 37188779.07 + 1774740451.36128 + 3154659.79 + 2804773003.30587 + 585522949.85576 + 0 + 595645628.5</f>
        <v>18511429134.824547</v>
      </c>
      <c r="H62" s="25" t="b">
        <f t="shared" si="0"/>
        <v>1</v>
      </c>
    </row>
    <row r="63" spans="1:8">
      <c r="A63" s="12" t="s">
        <v>12</v>
      </c>
      <c r="B63" s="29">
        <f>0 + 26148383.72 + 391052835.740614 + 172286.48 + 389852.42919 + 13809288.3657123 + 88861965.9299999 + 32443221.83 + 134658929.514028 + 0 + 74955238.8822025</f>
        <v>762492002.89174664</v>
      </c>
      <c r="C63" s="29">
        <f>0 + 1804083.83 + 227869176.56 + 49139136.94 + 7136898.97523885 + 112095531.81 + 2501900.15 + 251569827.409227 + 0 + 9828145.15542869</f>
        <v>661944700.82989454</v>
      </c>
      <c r="D63" s="29">
        <f>0 + 0 + 0 + 86227341.5399998 + 12427593.18 + 0 + 0 + 0</f>
        <v>98654934.71999979</v>
      </c>
      <c r="E63" s="29">
        <f>0 + 66319.15 + 72789877.63 + 1163908.44 + 462253.322374308 + 44273600.7900002 + 90549.22 + 47121922.7580752 + 0 + 3261449.4674039</f>
        <v>169229880.77785361</v>
      </c>
      <c r="F63" s="29">
        <f>0 + 9186347.68 + 8586529.34 + 2882069.42 + 10951988.3109758 + 9044685.417198 + 103355562.04 + 7883486.88082726 + 0 + 25341729.2375616</f>
        <v>177232398.32656264</v>
      </c>
      <c r="G63" s="29">
        <f>0 + 37205134.38 + 700298419.270614 + 172286.48 + 139802308.76919 + 0 + 32360428.9743013 + 266703377.127198 + 138391233.24 + 0 + 441234166.562157 + 0 + 0 + 113386562.742597 + 0 + 0</f>
        <v>1869553917.5460575</v>
      </c>
      <c r="H63" s="25" t="b">
        <f t="shared" si="0"/>
        <v>1</v>
      </c>
    </row>
    <row r="64" spans="1:8">
      <c r="A64" s="12" t="s">
        <v>13</v>
      </c>
      <c r="B64" s="29">
        <f>0 + 0 + 9054803.39769757</f>
        <v>9054803.3976975698</v>
      </c>
      <c r="C64" s="29">
        <f>0 + 0</f>
        <v>0</v>
      </c>
      <c r="D64" s="29">
        <f>0 + 0</f>
        <v>0</v>
      </c>
      <c r="E64" s="29">
        <f>0 + 0</f>
        <v>0</v>
      </c>
      <c r="F64" s="29">
        <f>0 + 0 + 1904104.86616859</f>
        <v>1904104.86616859</v>
      </c>
      <c r="G64" s="29">
        <f>0 + 0 + 0 + 0 + 0 + 0 + 0 + 0 + 0 + 0 + 0 + 0 + 0 + 10958908.2638662 + 0 + 0</f>
        <v>10958908.263866199</v>
      </c>
      <c r="H64" s="25" t="b">
        <f t="shared" si="0"/>
        <v>1</v>
      </c>
    </row>
    <row r="65" spans="1:8" ht="13.8" thickBot="1">
      <c r="A65" s="23" t="s">
        <v>32</v>
      </c>
      <c r="B65" s="31">
        <f>-624380541.496401 + 596019329.002435 + 2202520821.5286 + 1124902433.33 + 84069611.6103401 + 34981930.3799999 + 117391711.623889 + 1130518166.085 + 869904673.51 + 244144697.34 + 437108121.609999 + 0 + 775143114.78 + 750011345.114183 + -31615770.27 + 149323285.51</f>
        <v>7860042929.6580448</v>
      </c>
      <c r="C65" s="31">
        <f>261721794.950341 + 138222062.52 + 1603711093.39 + 106241247.57 + 42321817.0399996 + 281674263.26 + 219402163.87 + 823462095.180001 + 1219749381.51 + 0 + 192677746.51 + 0 + 274646191.27 + 271247703.13462 + 4569230.8 + 276694281.18</f>
        <v>5716341072.1849632</v>
      </c>
      <c r="D65" s="31">
        <f>0 + -10577068.22 + 0 + 0 + -88220815.1700004 + 0 + 0 + 48337586.4800003 + 0 + 0 + 0 + 0 + 0 + 0 + 0 + 0</f>
        <v>-50460296.910000101</v>
      </c>
      <c r="E65" s="31">
        <f>172321634.687478 + -70887174.4600311 + 1311560784.77 + 308882937.01 + 461266705.600001 + 321662749.38 + 173941722.339999 + 1808048950.08967 + 961464726.99 + 0 + 250736327.37 + 47819990.8 + 1201704125.41069 + 328371006.275225 + 0 + 414625325.93</f>
        <v>7691519812.1930323</v>
      </c>
      <c r="F65" s="31">
        <f>-54506510.1447599 + -271534286.27 + 69212877.11 + 15085161.03 + 21208252.91 + -7373765.41 + 481440971.906788 + 615257136.548202 + 316375558.65 + 0 + 30152526.785152 + 338683.52 + -1120774752.16069 + -118190729.564029 + 0 + -50542444.21</f>
        <v>-73851319.29933688</v>
      </c>
      <c r="G65" s="31">
        <f>-244843622.003342 + 381242862.572404 + 5187005576.7986 + 1555111778.94 + 520645571.99034 + 630945177.61 + 992176569.740675 + 4425623934.38287 + 3367494340.66 + 244144697.34 + 910674722.275152 + 48158674.32 + 1130718679.3 + 1231439324.96 + -27046539.47 + 790100448.41</f>
        <v>21143592197.826694</v>
      </c>
      <c r="H65" s="25" t="b">
        <f t="shared" si="0"/>
        <v>1</v>
      </c>
    </row>
    <row r="66" spans="1:8" ht="13.8" thickTop="1">
      <c r="A66" s="12"/>
      <c r="B66" s="32"/>
      <c r="C66" s="32"/>
      <c r="D66" s="32"/>
      <c r="E66" s="32"/>
      <c r="F66" s="32"/>
      <c r="G66" s="32"/>
      <c r="H66" s="25"/>
    </row>
    <row r="67" spans="1:8">
      <c r="A67" s="24" t="s">
        <v>33</v>
      </c>
      <c r="B67" s="33">
        <f>302595818.91 + 256026964.360031 + 343197740.08 + 24543733.34 + 14912046.41956 + 9428398.89 + 39566371.35 + 254555167.48 + 227158905.88 + 165373568.99 + 137514836 + 566216559.29</f>
        <v>2341090110.9895906</v>
      </c>
      <c r="C67" s="33">
        <f>123336814.33 + 33618629.73 + 271141765.05 + 1493044.86 + 3382668.34999999 + 2150730.67 + 30169412.39 + 130827227.21 + 139200644.96 + 99869358.57 + 84075614 + 91450490.3</f>
        <v>1010716400.4200001</v>
      </c>
      <c r="D67" s="33">
        <f>0 + 191393.38 + 0 + 913845.7 + 30663533.67 + 0 + 0</f>
        <v>31768772.75</v>
      </c>
      <c r="E67" s="33">
        <f>178950911.98 + 64813985.0199699 + 228322398.97 + 3327173.28 + 13900311.9 + 5877124.15 + 22018650.34 + 337675001.3 + 180260875.04 + 101641834.08 + 126947453.87 + 146399705.36</f>
        <v>1410135425.2899699</v>
      </c>
      <c r="F67" s="33">
        <f>38031746.11 + 2884694.1 + 13983390.3 + 371052.5 + 441758.01 + 298946 + 36326739.27 + 13967848.23 + 31296310.98 + 18774936.75 + 0 + 16206696.43</f>
        <v>172584118.68000001</v>
      </c>
      <c r="G67" s="33">
        <f>642915291.33 + 357535666.59 + 856645294.4 + 29735003.98 + 33550630.37956 + 17755199.71 + 128081173.35 + 767688777.89 + 577916736.86 + 0 + 385659698.39 + 0 + 348537903.87 + 0 + 0 + 820273451.38</f>
        <v>4966294828.1295595</v>
      </c>
      <c r="H67" s="25" t="b">
        <f t="shared" si="0"/>
        <v>1</v>
      </c>
    </row>
  </sheetData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Jenny Gage</cp:lastModifiedBy>
  <cp:lastPrinted>2013-04-24T06:23:19Z</cp:lastPrinted>
  <dcterms:created xsi:type="dcterms:W3CDTF">2010-07-14T13:00:47Z</dcterms:created>
  <dcterms:modified xsi:type="dcterms:W3CDTF">2015-05-22T11:55:12Z</dcterms:modified>
</cp:coreProperties>
</file>